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6Uv7b0vFDiiKG1nKKnGmgGqXAxcBCFd+3/0BlWpLwgq0G+j5w/PTPCtHfCb2kPiJpC7bHXXFHtbYNogulPlYbw==" workbookSaltValue="Gjjl9XsllszWKRjKdhZ2VA==" workbookSpinCount="100000" lockStructure="1"/>
  <bookViews>
    <workbookView xWindow="-120" yWindow="-120" windowWidth="29040" windowHeight="15720" tabRatio="844"/>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BA21" i="20" s="1"/>
  <c r="EY18" i="19"/>
  <c r="EY13" i="19"/>
  <c r="EY18" i="8"/>
  <c r="EY13" i="8"/>
  <c r="EY18" i="13"/>
  <c r="EY13" i="13"/>
  <c r="EX18" i="19"/>
  <c r="EX13" i="19"/>
  <c r="BA20" i="20"/>
  <c r="BA19" i="20" l="1"/>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W19" i="8" l="1"/>
  <c r="AW13" i="1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ES19" i="8" s="1"/>
  <c r="AJ18" i="16"/>
  <c r="AE18" i="16"/>
  <c r="ER18" i="19"/>
  <c r="ER13" i="19"/>
  <c r="EQ18" i="19"/>
  <c r="EQ13" i="19"/>
  <c r="EP18" i="19"/>
  <c r="EP13" i="19"/>
  <c r="EP19" i="19" s="1"/>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EP19" i="8" s="1"/>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K19" i="19" s="1"/>
  <c r="CJ13" i="19"/>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A13" i="19"/>
  <c r="Z13" i="19"/>
  <c r="Z19" i="19" s="1"/>
  <c r="Y13" i="19"/>
  <c r="X13" i="19"/>
  <c r="W13" i="19"/>
  <c r="V13" i="19"/>
  <c r="U13" i="19"/>
  <c r="T13" i="19"/>
  <c r="T19" i="19" s="1"/>
  <c r="S13" i="19"/>
  <c r="R13" i="19"/>
  <c r="Q13" i="19"/>
  <c r="P13" i="19"/>
  <c r="P19" i="19" s="1"/>
  <c r="O13" i="19"/>
  <c r="N13" i="19"/>
  <c r="M13" i="19"/>
  <c r="L13" i="19"/>
  <c r="K13" i="19"/>
  <c r="J13" i="19"/>
  <c r="I13" i="19"/>
  <c r="I19" i="19" s="1"/>
  <c r="A5" i="19"/>
  <c r="B4" i="19"/>
  <c r="A4" i="19"/>
  <c r="B3" i="19"/>
  <c r="A3" i="19"/>
  <c r="B2" i="19"/>
  <c r="A2" i="19"/>
  <c r="EM13" i="8"/>
  <c r="EN13" i="8"/>
  <c r="EL13" i="8"/>
  <c r="EL18" i="8"/>
  <c r="EL19" i="8" s="1"/>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G11" i="13" s="1"/>
  <c r="BB9" i="13"/>
  <c r="BA9" i="13"/>
  <c r="BD9" i="13" s="1"/>
  <c r="AY9" i="13"/>
  <c r="BC12" i="13"/>
  <c r="BC11" i="13"/>
  <c r="BC10" i="13"/>
  <c r="BB10" i="13"/>
  <c r="BA10" i="13"/>
  <c r="AZ10" i="13"/>
  <c r="AY10" i="13"/>
  <c r="BC9" i="13"/>
  <c r="BC17" i="13"/>
  <c r="BB17" i="13"/>
  <c r="BA17" i="13"/>
  <c r="BE17" i="13" s="1"/>
  <c r="AZ17" i="13"/>
  <c r="AY17" i="13"/>
  <c r="BC16" i="13"/>
  <c r="BC15" i="13"/>
  <c r="BF15" i="13" s="1"/>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2" s="1"/>
  <c r="AO18" i="8"/>
  <c r="B18" i="3" s="1"/>
  <c r="AN18" i="8"/>
  <c r="AM18" i="8"/>
  <c r="AL18" i="8"/>
  <c r="AK18" i="8"/>
  <c r="AJ18" i="8"/>
  <c r="T18" i="12" s="1"/>
  <c r="AI18" i="8"/>
  <c r="S18" i="12" s="1"/>
  <c r="AH18" i="8"/>
  <c r="R18" i="12" s="1"/>
  <c r="AG18" i="8"/>
  <c r="Q18" i="12" s="1"/>
  <c r="AF18" i="8"/>
  <c r="AE18" i="8"/>
  <c r="AD18" i="8"/>
  <c r="AC18" i="8"/>
  <c r="AB18" i="8"/>
  <c r="AA18" i="8"/>
  <c r="Z18" i="8"/>
  <c r="Z19" i="8" s="1"/>
  <c r="Y18" i="8"/>
  <c r="X18" i="8"/>
  <c r="W18" i="8"/>
  <c r="V18" i="8"/>
  <c r="U18" i="8"/>
  <c r="T18" i="8"/>
  <c r="S18" i="8"/>
  <c r="R18" i="8"/>
  <c r="Q18" i="8"/>
  <c r="P18" i="8"/>
  <c r="O18" i="8"/>
  <c r="M18" i="8"/>
  <c r="N18" i="8"/>
  <c r="L18" i="8"/>
  <c r="K18" i="8"/>
  <c r="D18" i="7" s="1"/>
  <c r="J18" i="8"/>
  <c r="C18" i="7" s="1"/>
  <c r="I18" i="8"/>
  <c r="B18" i="7"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I19" i="8" s="1"/>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8" i="11" s="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W15" i="11"/>
  <c r="Y15" i="11" s="1"/>
  <c r="W16" i="11"/>
  <c r="W17" i="11"/>
  <c r="I15" i="2"/>
  <c r="I16" i="2"/>
  <c r="I17" i="2"/>
  <c r="G15" i="2"/>
  <c r="G16" i="2"/>
  <c r="G17" i="2"/>
  <c r="E15" i="2"/>
  <c r="E16" i="2"/>
  <c r="E17" i="2"/>
  <c r="C16" i="2"/>
  <c r="D16" i="2" s="1"/>
  <c r="C17" i="2"/>
  <c r="D17" i="2" s="1"/>
  <c r="I9" i="2"/>
  <c r="I10" i="2"/>
  <c r="I11" i="2"/>
  <c r="I12" i="2"/>
  <c r="C10" i="2"/>
  <c r="C11" i="2"/>
  <c r="C12" i="2"/>
  <c r="D12" i="2" s="1"/>
  <c r="G9" i="2"/>
  <c r="G10" i="2"/>
  <c r="G11" i="2"/>
  <c r="G12" i="2"/>
  <c r="E9" i="2"/>
  <c r="E10" i="2"/>
  <c r="E11" i="2"/>
  <c r="E12" i="2"/>
  <c r="AO12" i="11"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D15" i="8" s="1"/>
  <c r="AY15" i="8"/>
  <c r="BB12" i="8"/>
  <c r="BA12" i="8"/>
  <c r="AZ12" i="8"/>
  <c r="AY12" i="8"/>
  <c r="BB11" i="8"/>
  <c r="BA11" i="8"/>
  <c r="AZ11" i="8"/>
  <c r="AY11" i="8"/>
  <c r="BB9" i="8"/>
  <c r="BE9" i="8" s="1"/>
  <c r="BA9" i="8"/>
  <c r="AY9" i="8"/>
  <c r="BG9"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N19" i="13" s="1"/>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Y13" i="8" s="1"/>
  <c r="AZ10" i="8"/>
  <c r="BA10" i="8"/>
  <c r="BB10" i="8"/>
  <c r="BC10" i="8"/>
  <c r="BC11" i="8"/>
  <c r="BC12" i="8"/>
  <c r="BC15" i="8"/>
  <c r="BC16" i="8"/>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E12" i="3" s="1"/>
  <c r="F12" i="3"/>
  <c r="H12" i="3"/>
  <c r="I12" i="3" s="1"/>
  <c r="A13" i="3"/>
  <c r="A14" i="3"/>
  <c r="A15" i="3"/>
  <c r="C15" i="3"/>
  <c r="D15" i="3"/>
  <c r="F15" i="3"/>
  <c r="G15" i="3" s="1"/>
  <c r="H15" i="3"/>
  <c r="A16" i="3"/>
  <c r="C16" i="3"/>
  <c r="D16" i="3"/>
  <c r="F16" i="3"/>
  <c r="H16" i="3"/>
  <c r="A17" i="3"/>
  <c r="C17" i="3"/>
  <c r="D17" i="3"/>
  <c r="F17" i="3"/>
  <c r="G17" i="3" s="1"/>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E15" i="10"/>
  <c r="F15" i="10" s="1"/>
  <c r="H15" i="10"/>
  <c r="A16" i="10"/>
  <c r="B16" i="10"/>
  <c r="C16" i="10"/>
  <c r="D16" i="10"/>
  <c r="I16" i="10" s="1"/>
  <c r="K16" i="10" s="1"/>
  <c r="E16" i="10"/>
  <c r="F16" i="10" s="1"/>
  <c r="H16" i="10"/>
  <c r="A17" i="10"/>
  <c r="B17" i="10"/>
  <c r="C17" i="10"/>
  <c r="D17" i="10"/>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AN18" i="17"/>
  <c r="AS13" i="8"/>
  <c r="AS19" i="8" s="1"/>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CO19" i="8"/>
  <c r="V18" i="21"/>
  <c r="T18" i="21"/>
  <c r="BD12" i="13"/>
  <c r="AH19" i="8"/>
  <c r="AB19" i="19"/>
  <c r="D18" i="12"/>
  <c r="ER19" i="8"/>
  <c r="EQ19" i="8"/>
  <c r="BA13" i="16"/>
  <c r="W19" i="13"/>
  <c r="AL13" i="16"/>
  <c r="S13" i="16"/>
  <c r="P13" i="16"/>
  <c r="AN13" i="20"/>
  <c r="Z13" i="17"/>
  <c r="AN17" i="11"/>
  <c r="M18" i="2"/>
  <c r="D17" i="6"/>
  <c r="H13" i="12"/>
  <c r="T13" i="12"/>
  <c r="BD9" i="8"/>
  <c r="BF9" i="8"/>
  <c r="BA13" i="8"/>
  <c r="I19" i="8"/>
  <c r="E13" i="17"/>
  <c r="T13" i="20"/>
  <c r="T13" i="16"/>
  <c r="AP13" i="16"/>
  <c r="T18" i="17"/>
  <c r="J20" i="20"/>
  <c r="AF20" i="20"/>
  <c r="M20" i="20"/>
  <c r="AG20" i="20"/>
  <c r="S20" i="20"/>
  <c r="K20" i="20"/>
  <c r="AM20" i="20"/>
  <c r="AK20" i="20"/>
  <c r="F20" i="20"/>
  <c r="Z20" i="20"/>
  <c r="W20" i="21"/>
  <c r="AJ19" i="8" l="1"/>
  <c r="AC17" i="11"/>
  <c r="G18" i="12"/>
  <c r="E18" i="7"/>
  <c r="G18" i="2"/>
  <c r="AR18" i="11"/>
  <c r="E18" i="12"/>
  <c r="T19" i="8"/>
  <c r="AH13" i="16"/>
  <c r="AA19" i="8"/>
  <c r="AC12" i="11"/>
  <c r="D13" i="7"/>
  <c r="BF12" i="8"/>
  <c r="BG12" i="8"/>
  <c r="C19" i="3"/>
  <c r="I10" i="3"/>
  <c r="BB13" i="13"/>
  <c r="BD15" i="13"/>
  <c r="BF16" i="13"/>
  <c r="BG16" i="13"/>
  <c r="BD16" i="13"/>
  <c r="BE15" i="13"/>
  <c r="BE16" i="13"/>
  <c r="BD11" i="13"/>
  <c r="BE11" i="13"/>
  <c r="F11" i="16"/>
  <c r="R8" i="9"/>
  <c r="X16" i="17" s="1"/>
  <c r="AZ9" i="11"/>
  <c r="AZ19" i="11" s="1"/>
  <c r="S16" i="17"/>
  <c r="T9" i="11"/>
  <c r="AA11" i="16"/>
  <c r="V17" i="16"/>
  <c r="AO13" i="20"/>
  <c r="AS13" i="21"/>
  <c r="AT18" i="20"/>
  <c r="F15" i="16"/>
  <c r="BL15" i="16" s="1"/>
  <c r="BC13" i="13"/>
  <c r="AZ13" i="13"/>
  <c r="BG9" i="13"/>
  <c r="BE12" i="13"/>
  <c r="C12" i="14"/>
  <c r="K12" i="14" s="1"/>
  <c r="BG10" i="8"/>
  <c r="BD12" i="8"/>
  <c r="L11" i="14"/>
  <c r="B17" i="6"/>
  <c r="AV18" i="21"/>
  <c r="R19" i="8"/>
  <c r="AB19" i="8"/>
  <c r="N11" i="11"/>
  <c r="I16" i="3"/>
  <c r="E16" i="3"/>
  <c r="G11" i="3"/>
  <c r="G12" i="3"/>
  <c r="E12" i="6"/>
  <c r="C18" i="2"/>
  <c r="D18" i="2" s="1"/>
  <c r="AO15" i="11"/>
  <c r="H12" i="7"/>
  <c r="N18" i="2"/>
  <c r="K18" i="2"/>
  <c r="F12" i="21"/>
  <c r="CN19" i="19"/>
  <c r="AL19" i="16"/>
  <c r="AC19" i="13"/>
  <c r="AY18" i="8"/>
  <c r="BG15" i="8"/>
  <c r="K15" i="7" s="1"/>
  <c r="BE15" i="8"/>
  <c r="BF15" i="8"/>
  <c r="AC10" i="11"/>
  <c r="S19" i="8"/>
  <c r="BK19" i="8"/>
  <c r="BM19" i="8"/>
  <c r="AV18" i="17"/>
  <c r="F15" i="17"/>
  <c r="AQ15" i="17" s="1"/>
  <c r="EN19" i="8"/>
  <c r="I17" i="10"/>
  <c r="K17" i="10" s="1"/>
  <c r="I15" i="10"/>
  <c r="K15" i="10" s="1"/>
  <c r="D11" i="12"/>
  <c r="BD17" i="8"/>
  <c r="H17" i="7" s="1"/>
  <c r="X19" i="8"/>
  <c r="AL19" i="8"/>
  <c r="F17" i="17"/>
  <c r="AQ17" i="17" s="1"/>
  <c r="AE13" i="17"/>
  <c r="K18" i="11"/>
  <c r="AN12" i="11"/>
  <c r="B10" i="6"/>
  <c r="AU18" i="21"/>
  <c r="BB19" i="19"/>
  <c r="BF18" i="19"/>
  <c r="U19" i="19"/>
  <c r="AB19" i="13"/>
  <c r="X19" i="13"/>
  <c r="V19" i="13"/>
  <c r="AO19" i="13"/>
  <c r="AA19" i="13"/>
  <c r="Q19" i="13"/>
  <c r="ER19" i="13"/>
  <c r="AC11" i="11"/>
  <c r="AP13" i="17"/>
  <c r="AR13" i="21"/>
  <c r="O19" i="8"/>
  <c r="AW18" i="21"/>
  <c r="BM18" i="16"/>
  <c r="J17" i="12"/>
  <c r="F15" i="11"/>
  <c r="BJ13" i="16"/>
  <c r="G16" i="3"/>
  <c r="BE10" i="8"/>
  <c r="BE11" i="8"/>
  <c r="I11" i="7" s="1"/>
  <c r="BE12" i="8"/>
  <c r="I12" i="7" s="1"/>
  <c r="AO9" i="11"/>
  <c r="I10" i="7"/>
  <c r="F15" i="2"/>
  <c r="AL17" i="11"/>
  <c r="D15" i="6"/>
  <c r="C17" i="6"/>
  <c r="C15" i="6"/>
  <c r="F16" i="11"/>
  <c r="AP12" i="11"/>
  <c r="AP10" i="11"/>
  <c r="Y17" i="11"/>
  <c r="J13" i="11"/>
  <c r="N9" i="11"/>
  <c r="F12" i="11"/>
  <c r="AQ12" i="11" s="1"/>
  <c r="F11" i="11"/>
  <c r="F17" i="16"/>
  <c r="BL17" i="16" s="1"/>
  <c r="F11" i="17"/>
  <c r="AQ11" i="17" s="1"/>
  <c r="G9" i="12"/>
  <c r="Y11" i="11"/>
  <c r="H15" i="7"/>
  <c r="K12" i="7"/>
  <c r="K10" i="7"/>
  <c r="B12" i="6"/>
  <c r="C12" i="6"/>
  <c r="I12" i="12" s="1"/>
  <c r="AL12" i="11"/>
  <c r="L17" i="14"/>
  <c r="H15" i="2"/>
  <c r="F12" i="2"/>
  <c r="F10" i="2"/>
  <c r="H9" i="2"/>
  <c r="BI15" i="16"/>
  <c r="AL15" i="11"/>
  <c r="N19" i="19"/>
  <c r="AT19" i="19"/>
  <c r="BD18" i="19"/>
  <c r="BC19" i="19"/>
  <c r="AG19" i="19"/>
  <c r="AO19" i="19"/>
  <c r="AR13" i="20"/>
  <c r="J18" i="17"/>
  <c r="F16" i="17"/>
  <c r="BK19" i="13"/>
  <c r="BH19" i="13"/>
  <c r="AQ19" i="13"/>
  <c r="AE19" i="13"/>
  <c r="Y19" i="13"/>
  <c r="U19" i="13"/>
  <c r="S19" i="13"/>
  <c r="BB18" i="13"/>
  <c r="AZ18" i="13"/>
  <c r="BF9" i="13"/>
  <c r="BD17" i="13"/>
  <c r="BC18" i="13"/>
  <c r="BG10" i="13"/>
  <c r="AK19" i="8"/>
  <c r="AI19" i="8"/>
  <c r="AE19" i="8"/>
  <c r="W19" i="8"/>
  <c r="Q19" i="8"/>
  <c r="E10" i="6"/>
  <c r="K10" i="12" s="1"/>
  <c r="F17" i="2"/>
  <c r="J15" i="2"/>
  <c r="J17" i="10"/>
  <c r="L17" i="10" s="1"/>
  <c r="C11" i="6"/>
  <c r="I11" i="12" s="1"/>
  <c r="AO17" i="11"/>
  <c r="AR13" i="11"/>
  <c r="G18" i="7"/>
  <c r="AT19" i="8"/>
  <c r="AF13" i="21"/>
  <c r="AF19" i="21" s="1"/>
  <c r="AB13" i="21"/>
  <c r="AB19" i="21" s="1"/>
  <c r="C15" i="14"/>
  <c r="K15" i="14" s="1"/>
  <c r="G12" i="12"/>
  <c r="AP11" i="11"/>
  <c r="J16" i="10"/>
  <c r="L16" i="10" s="1"/>
  <c r="J15" i="10"/>
  <c r="L15" i="10" s="1"/>
  <c r="J12" i="10"/>
  <c r="L12" i="10" s="1"/>
  <c r="J11" i="10"/>
  <c r="L11" i="10" s="1"/>
  <c r="F9" i="2"/>
  <c r="E13" i="2"/>
  <c r="F13" i="2" s="1"/>
  <c r="L9" i="14"/>
  <c r="AL9" i="11"/>
  <c r="G13" i="2"/>
  <c r="AO11" i="11"/>
  <c r="J12" i="2"/>
  <c r="L12" i="14"/>
  <c r="J10" i="2"/>
  <c r="E9" i="6"/>
  <c r="K9" i="12" s="1"/>
  <c r="I9" i="7"/>
  <c r="H9" i="7"/>
  <c r="E11" i="6"/>
  <c r="I13" i="2"/>
  <c r="J13" i="2" s="1"/>
  <c r="H12" i="2"/>
  <c r="D11" i="2"/>
  <c r="B11" i="6"/>
  <c r="AL11" i="11"/>
  <c r="D9" i="6"/>
  <c r="J9" i="12" s="1"/>
  <c r="T10" i="21"/>
  <c r="AE13" i="21"/>
  <c r="AE19" i="21" s="1"/>
  <c r="BE12" i="21"/>
  <c r="BE13" i="21" s="1"/>
  <c r="BE19" i="21" s="1"/>
  <c r="CJ19" i="19"/>
  <c r="R19" i="19"/>
  <c r="V19" i="19"/>
  <c r="AD19" i="19"/>
  <c r="AL19" i="19"/>
  <c r="AR19" i="19"/>
  <c r="EL19" i="19"/>
  <c r="AO18" i="20"/>
  <c r="Y19" i="19"/>
  <c r="AQ19" i="19"/>
  <c r="AT18" i="17"/>
  <c r="BA18" i="13"/>
  <c r="BA13" i="13"/>
  <c r="BD13" i="13" s="1"/>
  <c r="BE9" i="13"/>
  <c r="AY13" i="13"/>
  <c r="AM19" i="13"/>
  <c r="BE10" i="13"/>
  <c r="AN10" i="11"/>
  <c r="E10" i="3"/>
  <c r="J9" i="7"/>
  <c r="H17" i="2"/>
  <c r="AN9" i="11"/>
  <c r="C13" i="5"/>
  <c r="AM19" i="8"/>
  <c r="AG19" i="8"/>
  <c r="AC19" i="8"/>
  <c r="Y19" i="8"/>
  <c r="U19" i="8"/>
  <c r="L19" i="8"/>
  <c r="BG17" i="8"/>
  <c r="K17" i="7" s="1"/>
  <c r="BF16" i="8"/>
  <c r="BD16" i="8"/>
  <c r="H16" i="7" s="1"/>
  <c r="B16" i="6"/>
  <c r="J17" i="7"/>
  <c r="H18" i="3"/>
  <c r="I18" i="3" s="1"/>
  <c r="AN11" i="11"/>
  <c r="E12" i="12"/>
  <c r="BF11" i="8"/>
  <c r="J11" i="7" s="1"/>
  <c r="BD11" i="8"/>
  <c r="H11" i="7" s="1"/>
  <c r="BG16" i="8"/>
  <c r="K16" i="7" s="1"/>
  <c r="AC19" i="17"/>
  <c r="W13" i="17"/>
  <c r="BN18" i="16"/>
  <c r="BN19" i="16" s="1"/>
  <c r="H18" i="16"/>
  <c r="M13" i="21"/>
  <c r="M19" i="21" s="1"/>
  <c r="H13" i="21"/>
  <c r="H21" i="21" s="1"/>
  <c r="AM13" i="21"/>
  <c r="AO13" i="21"/>
  <c r="M13" i="2"/>
  <c r="N13" i="2"/>
  <c r="AJ13" i="16"/>
  <c r="C10" i="14"/>
  <c r="K10" i="14" s="1"/>
  <c r="Y10" i="11"/>
  <c r="AP15" i="11"/>
  <c r="J15" i="7"/>
  <c r="C16" i="6"/>
  <c r="K9" i="7"/>
  <c r="I18" i="2"/>
  <c r="J18" i="2" s="1"/>
  <c r="E16" i="6"/>
  <c r="D16" i="6"/>
  <c r="L16" i="14"/>
  <c r="L10" i="14"/>
  <c r="H10" i="2"/>
  <c r="D10" i="2"/>
  <c r="AO10" i="11"/>
  <c r="C9" i="6"/>
  <c r="I9" i="12" s="1"/>
  <c r="J9" i="2"/>
  <c r="B15" i="6"/>
  <c r="E18" i="2"/>
  <c r="F18" i="2" s="1"/>
  <c r="BI16" i="16"/>
  <c r="D12" i="6"/>
  <c r="E17" i="6"/>
  <c r="L19" i="21"/>
  <c r="BC21" i="21"/>
  <c r="BE18" i="19"/>
  <c r="BE13" i="19"/>
  <c r="M19" i="19"/>
  <c r="AC19" i="19"/>
  <c r="AK19" i="19"/>
  <c r="AS19" i="19"/>
  <c r="AJ19" i="19"/>
  <c r="AP19" i="19"/>
  <c r="Q19" i="19"/>
  <c r="X19" i="19"/>
  <c r="AF19" i="19"/>
  <c r="AN19" i="19"/>
  <c r="AM19" i="19"/>
  <c r="BI19" i="19"/>
  <c r="AY19" i="19"/>
  <c r="S19" i="19"/>
  <c r="AA19" i="19"/>
  <c r="AI19" i="19"/>
  <c r="BK19" i="19"/>
  <c r="CL19" i="19"/>
  <c r="ER19" i="19"/>
  <c r="AN20" i="20"/>
  <c r="AC20" i="20"/>
  <c r="G13" i="14"/>
  <c r="AX20" i="20"/>
  <c r="AE20" i="20"/>
  <c r="AH20" i="20"/>
  <c r="AP20" i="20"/>
  <c r="P20" i="20"/>
  <c r="R20" i="20"/>
  <c r="I20" i="20"/>
  <c r="AO20" i="20"/>
  <c r="L20" i="20"/>
  <c r="AQ20" i="20"/>
  <c r="AZ20" i="20"/>
  <c r="T20" i="21"/>
  <c r="AJ20" i="20"/>
  <c r="Q20" i="20"/>
  <c r="AQ20" i="21"/>
  <c r="AU20" i="20"/>
  <c r="AD20" i="20"/>
  <c r="G18" i="14"/>
  <c r="AL20" i="20"/>
  <c r="AI20" i="20"/>
  <c r="U16" i="11"/>
  <c r="AV20" i="20"/>
  <c r="Y20" i="20"/>
  <c r="O10" i="11"/>
  <c r="U12" i="11"/>
  <c r="U10" i="11"/>
  <c r="AA20" i="20"/>
  <c r="E20" i="20"/>
  <c r="T20" i="20"/>
  <c r="W20" i="20"/>
  <c r="X13" i="17" l="1"/>
  <c r="AM15" i="11"/>
  <c r="L11" i="2"/>
  <c r="U10" i="21"/>
  <c r="AA16" i="16"/>
  <c r="R12" i="14"/>
  <c r="L12" i="2"/>
  <c r="X17" i="17"/>
  <c r="J15" i="12"/>
  <c r="AM16" i="11"/>
  <c r="AQ13" i="21"/>
  <c r="V15" i="20"/>
  <c r="V18" i="20" s="1"/>
  <c r="AZ12" i="11"/>
  <c r="AA12" i="21"/>
  <c r="T17" i="20"/>
  <c r="X12" i="17"/>
  <c r="T15" i="11"/>
  <c r="AM9" i="11"/>
  <c r="S17" i="14"/>
  <c r="V17" i="14" s="1"/>
  <c r="X10" i="21"/>
  <c r="AZ17" i="11"/>
  <c r="V15" i="16"/>
  <c r="X12" i="21"/>
  <c r="X19" i="21" s="1"/>
  <c r="BF11" i="11"/>
  <c r="BH11" i="16"/>
  <c r="BL9" i="11"/>
  <c r="BH17" i="16"/>
  <c r="BG10" i="11"/>
  <c r="BM16" i="11"/>
  <c r="P17" i="17"/>
  <c r="BF17" i="11"/>
  <c r="BF16" i="11"/>
  <c r="S17" i="16"/>
  <c r="BL12" i="11"/>
  <c r="X11" i="17"/>
  <c r="BK15" i="11"/>
  <c r="S9" i="17"/>
  <c r="AP10" i="21"/>
  <c r="BM12" i="11"/>
  <c r="BH9" i="11"/>
  <c r="V9" i="11"/>
  <c r="BJ11" i="11"/>
  <c r="R10" i="21"/>
  <c r="BI17" i="11"/>
  <c r="BG9" i="11"/>
  <c r="BL11" i="11"/>
  <c r="BH17" i="11"/>
  <c r="BH18" i="11" s="1"/>
  <c r="BM15" i="11"/>
  <c r="AP17" i="20"/>
  <c r="AZ15" i="11"/>
  <c r="AZ18" i="11" s="1"/>
  <c r="BU11" i="17"/>
  <c r="BV17" i="16"/>
  <c r="BU10" i="17"/>
  <c r="BV12" i="16"/>
  <c r="BW12" i="20"/>
  <c r="BV11" i="16"/>
  <c r="BW11" i="20"/>
  <c r="U10" i="17"/>
  <c r="BW10" i="20"/>
  <c r="S11" i="17"/>
  <c r="BU12" i="17"/>
  <c r="AA17" i="16"/>
  <c r="X15" i="17"/>
  <c r="BG12" i="11"/>
  <c r="Q17" i="17"/>
  <c r="BH10" i="11"/>
  <c r="BI9" i="11"/>
  <c r="AQ10" i="21"/>
  <c r="S10" i="17"/>
  <c r="BH10" i="16"/>
  <c r="Q15" i="17"/>
  <c r="BM17" i="11"/>
  <c r="BF15" i="11"/>
  <c r="BF18" i="11" s="1"/>
  <c r="BH16" i="11"/>
  <c r="AQ12" i="21"/>
  <c r="BJ16" i="11"/>
  <c r="BL16" i="11"/>
  <c r="BH9" i="16"/>
  <c r="BJ17" i="11"/>
  <c r="BJ18" i="11" s="1"/>
  <c r="BH15" i="16"/>
  <c r="BL17" i="11"/>
  <c r="BF10" i="11"/>
  <c r="Q10" i="11" s="1"/>
  <c r="BK11" i="11"/>
  <c r="BI10" i="11"/>
  <c r="S9" i="14"/>
  <c r="V9" i="14" s="1"/>
  <c r="BJ15" i="11"/>
  <c r="AP15" i="20"/>
  <c r="R17" i="20"/>
  <c r="R18" i="20" s="1"/>
  <c r="T17" i="16"/>
  <c r="BU15" i="17"/>
  <c r="BW17" i="20"/>
  <c r="BW16" i="20"/>
  <c r="BW15" i="20"/>
  <c r="BV10" i="16"/>
  <c r="BU16" i="17"/>
  <c r="S12" i="14"/>
  <c r="V12" i="14" s="1"/>
  <c r="V13" i="14" s="1"/>
  <c r="S15" i="16"/>
  <c r="S18" i="16" s="1"/>
  <c r="BF12" i="11"/>
  <c r="BL10" i="11"/>
  <c r="BK16" i="11"/>
  <c r="BG16" i="11"/>
  <c r="BM9" i="11"/>
  <c r="BK10" i="11"/>
  <c r="L17" i="2"/>
  <c r="U9" i="17"/>
  <c r="U19" i="17" s="1"/>
  <c r="L9" i="2"/>
  <c r="AA9" i="16"/>
  <c r="AP16" i="20"/>
  <c r="V15" i="11"/>
  <c r="BH15" i="11"/>
  <c r="Q17" i="20"/>
  <c r="Q18" i="20" s="1"/>
  <c r="BK12" i="11"/>
  <c r="BK9" i="11"/>
  <c r="V11" i="11"/>
  <c r="Q10" i="21"/>
  <c r="BI15" i="11"/>
  <c r="BJ12" i="11"/>
  <c r="BG15" i="11"/>
  <c r="BK17" i="11"/>
  <c r="T15" i="16"/>
  <c r="BW9" i="20"/>
  <c r="BV16" i="16"/>
  <c r="BV15" i="16"/>
  <c r="BU9" i="17"/>
  <c r="BU17" i="17"/>
  <c r="BV9" i="16"/>
  <c r="BV13" i="16" s="1"/>
  <c r="S11" i="14"/>
  <c r="V11" i="14" s="1"/>
  <c r="P15" i="17"/>
  <c r="P18" i="17" s="1"/>
  <c r="P19" i="17" s="1"/>
  <c r="BL15" i="11"/>
  <c r="BJ10" i="11"/>
  <c r="BH11" i="11"/>
  <c r="S17" i="17"/>
  <c r="BH12" i="16"/>
  <c r="S15" i="17"/>
  <c r="L15" i="2"/>
  <c r="X15" i="16"/>
  <c r="X18" i="16" s="1"/>
  <c r="V10" i="16"/>
  <c r="V9" i="16"/>
  <c r="T12" i="11"/>
  <c r="R11" i="14"/>
  <c r="AP18" i="20"/>
  <c r="AO16" i="17"/>
  <c r="V10" i="21"/>
  <c r="AO12" i="17"/>
  <c r="AO9" i="17"/>
  <c r="AZ13" i="11"/>
  <c r="AP13" i="21"/>
  <c r="AP13" i="20"/>
  <c r="AO10" i="17"/>
  <c r="Q9" i="11"/>
  <c r="AM12" i="11"/>
  <c r="AM11" i="11"/>
  <c r="AO17" i="17"/>
  <c r="X9" i="16"/>
  <c r="X19" i="16" s="1"/>
  <c r="AZ16" i="11"/>
  <c r="V11" i="16"/>
  <c r="X16" i="20"/>
  <c r="V12" i="21"/>
  <c r="X17" i="20"/>
  <c r="X13" i="20"/>
  <c r="AA15" i="16"/>
  <c r="AA10" i="16"/>
  <c r="T17" i="11"/>
  <c r="S15" i="14"/>
  <c r="V15" i="14" s="1"/>
  <c r="AO15" i="17"/>
  <c r="R16" i="14"/>
  <c r="R10" i="14"/>
  <c r="S10" i="14"/>
  <c r="V10" i="14" s="1"/>
  <c r="X12" i="16"/>
  <c r="L16" i="2"/>
  <c r="L10" i="2"/>
  <c r="AZ11" i="11"/>
  <c r="V12" i="16"/>
  <c r="X9" i="17"/>
  <c r="X10" i="17"/>
  <c r="T16" i="11"/>
  <c r="T11" i="11"/>
  <c r="R17" i="14"/>
  <c r="R18" i="14" s="1"/>
  <c r="S16" i="14"/>
  <c r="V16" i="14" s="1"/>
  <c r="I15" i="12"/>
  <c r="H19" i="21"/>
  <c r="AB21" i="21"/>
  <c r="K16" i="12"/>
  <c r="BE13" i="13"/>
  <c r="BA19" i="13"/>
  <c r="S19" i="16"/>
  <c r="BB19" i="16"/>
  <c r="BF18" i="13"/>
  <c r="BC19" i="13"/>
  <c r="BG13" i="13"/>
  <c r="BM19" i="13"/>
  <c r="AD19" i="13"/>
  <c r="AI19" i="13"/>
  <c r="L19" i="13"/>
  <c r="N19" i="13"/>
  <c r="BD10" i="13"/>
  <c r="AK19" i="13"/>
  <c r="Z19" i="13"/>
  <c r="Q18" i="17"/>
  <c r="Q19" i="17" s="1"/>
  <c r="D13" i="5"/>
  <c r="E11" i="12"/>
  <c r="E9" i="12"/>
  <c r="D9" i="12"/>
  <c r="BI17" i="16"/>
  <c r="AP9" i="11"/>
  <c r="AV13" i="11"/>
  <c r="AX21" i="11"/>
  <c r="Y12" i="11"/>
  <c r="AA13" i="11"/>
  <c r="J12" i="12"/>
  <c r="BE17" i="8"/>
  <c r="I17" i="7" s="1"/>
  <c r="B9" i="6"/>
  <c r="H11" i="2"/>
  <c r="N13" i="17"/>
  <c r="K13" i="17"/>
  <c r="J13" i="17"/>
  <c r="K18" i="17"/>
  <c r="AF13" i="17"/>
  <c r="AX21" i="17"/>
  <c r="AQ10" i="17"/>
  <c r="AB18" i="11"/>
  <c r="I18" i="11"/>
  <c r="N12" i="11"/>
  <c r="P12" i="11" s="1"/>
  <c r="L18" i="11"/>
  <c r="AC15" i="11"/>
  <c r="H18" i="12"/>
  <c r="E17" i="3"/>
  <c r="E15" i="3"/>
  <c r="I11" i="3"/>
  <c r="G10" i="3"/>
  <c r="AV13" i="16"/>
  <c r="AG13" i="17"/>
  <c r="AJ18"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21" i="21" s="1"/>
  <c r="AY13" i="21"/>
  <c r="BA21" i="21"/>
  <c r="AT10" i="21"/>
  <c r="BL11" i="16"/>
  <c r="W18" i="16"/>
  <c r="C17" i="14"/>
  <c r="K17" i="14" s="1"/>
  <c r="F12" i="12"/>
  <c r="D12" i="12"/>
  <c r="AH13" i="11"/>
  <c r="Y9" i="11"/>
  <c r="Y13" i="11" s="1"/>
  <c r="F9" i="11"/>
  <c r="AQ9" i="11" s="1"/>
  <c r="AU13" i="11"/>
  <c r="AT13" i="11"/>
  <c r="AV18" i="11"/>
  <c r="R13" i="11"/>
  <c r="AQ10" i="11"/>
  <c r="F9" i="12"/>
  <c r="AI18" i="11"/>
  <c r="AI13" i="11"/>
  <c r="AE13" i="11"/>
  <c r="AG13" i="11"/>
  <c r="F11" i="12"/>
  <c r="AP17" i="11"/>
  <c r="Z13" i="11"/>
  <c r="AD13" i="11"/>
  <c r="AF18" i="11"/>
  <c r="AF13" i="11"/>
  <c r="N17" i="11"/>
  <c r="F17" i="11"/>
  <c r="AQ17" i="11" s="1"/>
  <c r="I13" i="11"/>
  <c r="J18" i="11"/>
  <c r="AQ15" i="11"/>
  <c r="AS13" i="11"/>
  <c r="AS18" i="11"/>
  <c r="E13" i="11"/>
  <c r="AH18" i="11"/>
  <c r="S13" i="11"/>
  <c r="T13" i="11" s="1"/>
  <c r="AQ11" i="11"/>
  <c r="AY18" i="11"/>
  <c r="C18" i="5"/>
  <c r="B13" i="5"/>
  <c r="J12" i="7"/>
  <c r="AN16" i="11"/>
  <c r="I15" i="3"/>
  <c r="I17" i="3"/>
  <c r="J9" i="10"/>
  <c r="L9" i="10" s="1"/>
  <c r="J10" i="10"/>
  <c r="L10" i="10" s="1"/>
  <c r="AM13" i="11"/>
  <c r="C13" i="6"/>
  <c r="C10" i="6"/>
  <c r="I10" i="12" s="1"/>
  <c r="AL16" i="11"/>
  <c r="AO16" i="11"/>
  <c r="AN15" i="11"/>
  <c r="E15" i="6"/>
  <c r="K15" i="12" s="1"/>
  <c r="I15" i="7"/>
  <c r="L15" i="14"/>
  <c r="D10" i="6"/>
  <c r="AL10" i="11"/>
  <c r="M19" i="2"/>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N21" i="20"/>
  <c r="AB18" i="20"/>
  <c r="AB19" i="20" s="1"/>
  <c r="AJ18" i="20"/>
  <c r="AJ19" i="20" s="1"/>
  <c r="P18" i="20"/>
  <c r="P19" i="20" s="1"/>
  <c r="AT19" i="20" s="1"/>
  <c r="H18" i="20"/>
  <c r="H19" i="20" s="1"/>
  <c r="K18" i="20"/>
  <c r="F17" i="20"/>
  <c r="AS17" i="20" s="1"/>
  <c r="AL18" i="20"/>
  <c r="AL19" i="20" s="1"/>
  <c r="AA18" i="20"/>
  <c r="AA19" i="20" s="1"/>
  <c r="G18" i="20"/>
  <c r="G20" i="20" s="1"/>
  <c r="Y18" i="20"/>
  <c r="Y19" i="20" s="1"/>
  <c r="AG18" i="20"/>
  <c r="Z18" i="20"/>
  <c r="Z19" i="20" s="1"/>
  <c r="L18" i="20"/>
  <c r="E18" i="20"/>
  <c r="AB19" i="17"/>
  <c r="AL18" i="17"/>
  <c r="R18" i="17"/>
  <c r="Y13" i="17"/>
  <c r="Y18" i="17"/>
  <c r="O18" i="17"/>
  <c r="O19" i="17" s="1"/>
  <c r="AH21" i="17"/>
  <c r="J13" i="16"/>
  <c r="F9" i="16"/>
  <c r="BL9" i="16" s="1"/>
  <c r="AC18" i="16"/>
  <c r="BP21" i="16"/>
  <c r="AZ18" i="16"/>
  <c r="J18" i="16"/>
  <c r="BS18" i="16"/>
  <c r="AD13" i="16"/>
  <c r="AD19" i="16" s="1"/>
  <c r="Q13" i="16"/>
  <c r="AS18" i="16"/>
  <c r="AZ13" i="16"/>
  <c r="AN19" i="16"/>
  <c r="AW19" i="11"/>
  <c r="AC16" i="11"/>
  <c r="K13" i="11"/>
  <c r="AZ10" i="11"/>
  <c r="AT18" i="11"/>
  <c r="M13" i="11"/>
  <c r="L13" i="11"/>
  <c r="AP16" i="11"/>
  <c r="Z18" i="11"/>
  <c r="AB13" i="11"/>
  <c r="AQ16" i="11"/>
  <c r="W18" i="11"/>
  <c r="Y16" i="11"/>
  <c r="Y18" i="11" s="1"/>
  <c r="X18" i="11"/>
  <c r="AC9" i="11"/>
  <c r="H13" i="11"/>
  <c r="E13" i="12" s="1"/>
  <c r="S18" i="11"/>
  <c r="H18" i="11"/>
  <c r="X13" i="11"/>
  <c r="AA18" i="11"/>
  <c r="M18" i="11"/>
  <c r="C16" i="14"/>
  <c r="K16" i="14" s="1"/>
  <c r="J16" i="7"/>
  <c r="J16" i="12"/>
  <c r="F18" i="3"/>
  <c r="G18" i="3" s="1"/>
  <c r="H13" i="3"/>
  <c r="E18" i="6"/>
  <c r="K12" i="12"/>
  <c r="AJ18" i="11"/>
  <c r="D18" i="5"/>
  <c r="F16" i="2"/>
  <c r="H16" i="2"/>
  <c r="J16" i="2"/>
  <c r="F13" i="3"/>
  <c r="E9" i="3"/>
  <c r="G9" i="3"/>
  <c r="AO18" i="1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BF13" i="8" s="1"/>
  <c r="G18" i="17"/>
  <c r="AR18" i="17"/>
  <c r="N13" i="16"/>
  <c r="V13" i="17"/>
  <c r="V19" i="17" s="1"/>
  <c r="AV18" i="16"/>
  <c r="Y19" i="21"/>
  <c r="AW18" i="16"/>
  <c r="AY13" i="16"/>
  <c r="AG18" i="17"/>
  <c r="AG21" i="17" s="1"/>
  <c r="T13" i="21"/>
  <c r="T19" i="21" s="1"/>
  <c r="AI13" i="21"/>
  <c r="AI19" i="21" s="1"/>
  <c r="AO19" i="21"/>
  <c r="AM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L19" i="19"/>
  <c r="J19" i="19"/>
  <c r="M19" i="20"/>
  <c r="AD18" i="20"/>
  <c r="AD21" i="20" s="1"/>
  <c r="AI18" i="20"/>
  <c r="AI19" i="20" s="1"/>
  <c r="AG19" i="20"/>
  <c r="F16" i="20"/>
  <c r="AS16" i="20" s="1"/>
  <c r="K19" i="19"/>
  <c r="AQ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J21" i="20"/>
  <c r="AT12" i="21"/>
  <c r="AH19" i="19"/>
  <c r="AH18" i="20"/>
  <c r="AH19" i="20" s="1"/>
  <c r="AO21" i="21"/>
  <c r="BG18" i="19"/>
  <c r="I13" i="21"/>
  <c r="I19" i="21" s="1"/>
  <c r="EO19" i="19"/>
  <c r="C11" i="14"/>
  <c r="K11" i="14" s="1"/>
  <c r="S13" i="21"/>
  <c r="S19" i="21" s="1"/>
  <c r="AE18" i="11"/>
  <c r="AJ13" i="11"/>
  <c r="F18" i="14"/>
  <c r="AP19" i="16"/>
  <c r="E18" i="14"/>
  <c r="F13" i="14"/>
  <c r="J19" i="8"/>
  <c r="C9" i="14"/>
  <c r="BC18" i="8"/>
  <c r="AZ18" i="8"/>
  <c r="BE18" i="13"/>
  <c r="BB19" i="13"/>
  <c r="BE19" i="13" s="1"/>
  <c r="AQ16" i="17"/>
  <c r="AG18" i="11"/>
  <c r="AK18" i="11"/>
  <c r="E13" i="14"/>
  <c r="U13" i="17"/>
  <c r="G19" i="20"/>
  <c r="E19" i="2"/>
  <c r="AI19" i="11"/>
  <c r="D19" i="12"/>
  <c r="AY19" i="8"/>
  <c r="AS19" i="21"/>
  <c r="D11" i="6"/>
  <c r="J11" i="12" s="1"/>
  <c r="E11" i="3"/>
  <c r="R15" i="14"/>
  <c r="BH16" i="16"/>
  <c r="AM17" i="11"/>
  <c r="BI16" i="11"/>
  <c r="BI18" i="11" s="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O18" i="17"/>
  <c r="AP12" i="21"/>
  <c r="BM11" i="11"/>
  <c r="BM10" i="11"/>
  <c r="BF9" i="11"/>
  <c r="V16" i="16"/>
  <c r="J11" i="2"/>
  <c r="F11" i="2"/>
  <c r="BE16" i="8"/>
  <c r="I16" i="7" s="1"/>
  <c r="BB18" i="8"/>
  <c r="AK13" i="11"/>
  <c r="BA18" i="8"/>
  <c r="AR19" i="13"/>
  <c r="AJ19" i="13"/>
  <c r="N18" i="17"/>
  <c r="I9" i="3"/>
  <c r="AN19" i="8"/>
  <c r="M18" i="16"/>
  <c r="E18" i="17"/>
  <c r="E19" i="17" s="1"/>
  <c r="AH19" i="13"/>
  <c r="R19" i="13"/>
  <c r="AP19" i="13"/>
  <c r="R9" i="14"/>
  <c r="BG13" i="19"/>
  <c r="BF10" i="8"/>
  <c r="J10" i="7" s="1"/>
  <c r="AZ13" i="8"/>
  <c r="AG19" i="13"/>
  <c r="BF18" i="16"/>
  <c r="K17" i="12"/>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AS20" i="20"/>
  <c r="H13" i="14"/>
  <c r="AD13" i="14"/>
  <c r="Z13" i="14"/>
  <c r="M13" i="14"/>
  <c r="R13" i="14"/>
  <c r="Y13" i="14"/>
  <c r="AA13" i="14"/>
  <c r="W13" i="14"/>
  <c r="P13" i="14"/>
  <c r="Q13" i="14"/>
  <c r="X13" i="14"/>
  <c r="AC13" i="14"/>
  <c r="AB13" i="14"/>
  <c r="V16" i="11"/>
  <c r="U18" i="11"/>
  <c r="AA18" i="14"/>
  <c r="V18" i="14"/>
  <c r="W18" i="14"/>
  <c r="H18" i="14"/>
  <c r="Z18" i="14"/>
  <c r="X18" i="14"/>
  <c r="AD18" i="14"/>
  <c r="Q18" i="14"/>
  <c r="P18" i="14"/>
  <c r="Y18" i="14"/>
  <c r="AC18" i="14"/>
  <c r="AB18" i="14"/>
  <c r="M18" i="14"/>
  <c r="U21" i="11"/>
  <c r="U13" i="11"/>
  <c r="V13" i="11" s="1"/>
  <c r="U19" i="11"/>
  <c r="V19" i="11" s="1"/>
  <c r="V10" i="11"/>
  <c r="V12" i="11"/>
  <c r="O13" i="11"/>
  <c r="O19" i="11"/>
  <c r="AU20" i="17"/>
  <c r="AX20" i="21"/>
  <c r="BP20" i="16"/>
  <c r="BR20" i="16"/>
  <c r="U17" i="11"/>
  <c r="N20" i="20"/>
  <c r="X20" i="20"/>
  <c r="AW20" i="11"/>
  <c r="AB20" i="20"/>
  <c r="O20" i="20"/>
  <c r="H20" i="20"/>
  <c r="O16" i="11"/>
  <c r="H20" i="17"/>
  <c r="AV20" i="21"/>
  <c r="I17" i="12" l="1"/>
  <c r="S18" i="14"/>
  <c r="V13" i="21"/>
  <c r="V19" i="21" s="1"/>
  <c r="BU21" i="17"/>
  <c r="BV18" i="16"/>
  <c r="T18" i="16"/>
  <c r="T19" i="16" s="1"/>
  <c r="BW21" i="20"/>
  <c r="Q15" i="11"/>
  <c r="P16" i="11"/>
  <c r="P9" i="11"/>
  <c r="G21" i="21"/>
  <c r="BK18" i="11"/>
  <c r="P15" i="11"/>
  <c r="Q16" i="11"/>
  <c r="R19" i="20"/>
  <c r="P17" i="11"/>
  <c r="S13" i="14"/>
  <c r="BH13" i="11"/>
  <c r="X13" i="16"/>
  <c r="Q12" i="11"/>
  <c r="BK13" i="11"/>
  <c r="R13" i="21"/>
  <c r="R19" i="21" s="1"/>
  <c r="I21" i="11"/>
  <c r="AY21" i="21"/>
  <c r="AO19" i="20"/>
  <c r="AK21" i="20"/>
  <c r="AE19" i="11"/>
  <c r="W19" i="11"/>
  <c r="AI21" i="11"/>
  <c r="AP13" i="11"/>
  <c r="V17" i="11"/>
  <c r="AA19" i="11"/>
  <c r="L19" i="11"/>
  <c r="G20" i="11"/>
  <c r="G20" i="21"/>
  <c r="G21" i="20"/>
  <c r="K19" i="17"/>
  <c r="BF19" i="13"/>
  <c r="AH19" i="11"/>
  <c r="R19" i="11"/>
  <c r="T18" i="11"/>
  <c r="AG21" i="11"/>
  <c r="G19" i="11"/>
  <c r="BI18" i="16"/>
  <c r="BG19" i="19"/>
  <c r="X18" i="20"/>
  <c r="AX21" i="20"/>
  <c r="AU19" i="21"/>
  <c r="O19" i="16"/>
  <c r="D19" i="14"/>
  <c r="AU21" i="21"/>
  <c r="D19" i="5"/>
  <c r="AN19" i="21"/>
  <c r="F18" i="20"/>
  <c r="F21" i="20" s="1"/>
  <c r="AL19" i="21"/>
  <c r="BD19" i="13"/>
  <c r="BE18" i="8"/>
  <c r="I18" i="7" s="1"/>
  <c r="I19" i="2"/>
  <c r="F19" i="14"/>
  <c r="G21" i="11"/>
  <c r="AJ21" i="17"/>
  <c r="I19" i="11"/>
  <c r="N19" i="2"/>
  <c r="AY19" i="21"/>
  <c r="AQ19" i="21"/>
  <c r="AP19" i="20"/>
  <c r="G19" i="16"/>
  <c r="BG21" i="16"/>
  <c r="AO19" i="16"/>
  <c r="BD19" i="16"/>
  <c r="M19" i="11"/>
  <c r="D19" i="2"/>
  <c r="J19" i="11"/>
  <c r="D21" i="12"/>
  <c r="O18" i="11"/>
  <c r="X19" i="11"/>
  <c r="AB19" i="11"/>
  <c r="AK19" i="11"/>
  <c r="AG19" i="11"/>
  <c r="E21" i="12"/>
  <c r="AJ21" i="11"/>
  <c r="H19" i="11"/>
  <c r="Z19" i="11"/>
  <c r="AC13" i="11"/>
  <c r="N18" i="11"/>
  <c r="F18" i="11"/>
  <c r="B19" i="5"/>
  <c r="AN18" i="11"/>
  <c r="U19" i="16"/>
  <c r="BF21" i="16"/>
  <c r="AC19" i="20"/>
  <c r="O17" i="11"/>
  <c r="BK19" i="11" l="1"/>
  <c r="Q18" i="11"/>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J19" i="2"/>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F20" i="16"/>
  <c r="Q20" i="16"/>
  <c r="AK20" i="17"/>
  <c r="AA20" i="11"/>
  <c r="AO20" i="16"/>
  <c r="BA20" i="16"/>
  <c r="Q20" i="11"/>
  <c r="AA20" i="16"/>
  <c r="P20" i="17"/>
  <c r="O20" i="16"/>
  <c r="BD20" i="21"/>
  <c r="F20" i="21"/>
  <c r="AV20" i="16"/>
  <c r="X20" i="11"/>
  <c r="E20" i="17"/>
  <c r="AA20" i="21"/>
  <c r="T20" i="17"/>
  <c r="I20" i="16"/>
  <c r="AB20" i="16"/>
  <c r="E20" i="11"/>
  <c r="AS20" i="11"/>
  <c r="AU20" i="21"/>
  <c r="R20" i="16"/>
  <c r="I20" i="17"/>
  <c r="V20" i="21"/>
  <c r="Y20" i="21"/>
  <c r="AC20" i="11"/>
  <c r="AA20" i="17"/>
  <c r="I20" i="21"/>
  <c r="L20" i="16"/>
  <c r="AY20" i="11"/>
  <c r="AB20" i="11"/>
  <c r="AS20" i="21"/>
  <c r="AH20" i="17"/>
  <c r="K20" i="11"/>
  <c r="AJ20" i="17"/>
  <c r="AC20" i="21"/>
  <c r="AK20" i="16"/>
  <c r="H20" i="16"/>
  <c r="W20" i="11"/>
  <c r="BI20" i="16"/>
  <c r="K20" i="21"/>
  <c r="AX20" i="16"/>
  <c r="X20" i="16"/>
  <c r="M20" i="21"/>
  <c r="J20" i="12"/>
  <c r="AN20" i="21"/>
  <c r="BD20" i="16"/>
  <c r="AI20" i="17"/>
  <c r="AL20" i="21"/>
  <c r="AH20" i="16"/>
  <c r="AT20" i="17"/>
  <c r="AH20" i="11"/>
  <c r="AE20" i="21"/>
  <c r="P20" i="11"/>
  <c r="AN20" i="17"/>
  <c r="AR20" i="21"/>
  <c r="U20" i="16"/>
  <c r="H20" i="12"/>
  <c r="F20" i="17"/>
  <c r="BB20" i="16"/>
  <c r="Z20" i="11"/>
  <c r="AB20" i="21"/>
  <c r="N20" i="16"/>
  <c r="N20" i="11"/>
  <c r="AM20" i="21"/>
  <c r="Z20" i="16"/>
  <c r="AF20" i="11"/>
  <c r="U20" i="21"/>
  <c r="N20" i="21"/>
  <c r="AM20" i="11"/>
  <c r="G20" i="12"/>
  <c r="BG20" i="16"/>
  <c r="L20" i="17"/>
  <c r="J20" i="21"/>
  <c r="Y20" i="11"/>
  <c r="AW20" i="17"/>
  <c r="K20" i="12"/>
  <c r="R20" i="17"/>
  <c r="AB20" i="17"/>
  <c r="S20" i="17"/>
  <c r="W20" i="16"/>
  <c r="AG20" i="17"/>
  <c r="AO20" i="11"/>
  <c r="AZ20" i="11"/>
  <c r="F20" i="11"/>
  <c r="V20" i="11"/>
  <c r="AJ20" i="16"/>
  <c r="AO20" i="17"/>
  <c r="AE20" i="16"/>
  <c r="AU20" i="11"/>
  <c r="V20" i="20"/>
  <c r="M20" i="16"/>
  <c r="BO20" i="16"/>
  <c r="AR20" i="20"/>
  <c r="U20" i="20"/>
  <c r="AV20" i="17"/>
  <c r="AP20" i="16"/>
  <c r="N20" i="17"/>
  <c r="BC20" i="16"/>
  <c r="AN20" i="16"/>
  <c r="O12" i="11"/>
  <c r="L20" i="21"/>
  <c r="L20" i="11"/>
  <c r="AE20" i="17"/>
  <c r="AR20" i="17"/>
  <c r="BC20" i="21"/>
  <c r="AD20" i="21"/>
  <c r="AV20" i="11"/>
  <c r="F20" i="16"/>
  <c r="AC20" i="17"/>
  <c r="AP20" i="21"/>
  <c r="Z20" i="21"/>
  <c r="AM20" i="16"/>
  <c r="Y20" i="16"/>
  <c r="AP20" i="17"/>
  <c r="P20" i="21"/>
  <c r="AR20" i="16"/>
  <c r="AT20" i="11"/>
  <c r="AK20" i="21"/>
  <c r="O20" i="21"/>
  <c r="AH20" i="21"/>
  <c r="AK20" i="11"/>
  <c r="AD20" i="17"/>
  <c r="S20" i="16"/>
  <c r="K20" i="16"/>
  <c r="AE20" i="11"/>
  <c r="Y20" i="17"/>
  <c r="BQ20" i="16"/>
  <c r="E20" i="12"/>
  <c r="X20" i="17"/>
  <c r="E20" i="16"/>
  <c r="U20" i="17"/>
  <c r="T20" i="16"/>
  <c r="D20" i="12"/>
  <c r="AS20" i="16"/>
  <c r="E20" i="21"/>
  <c r="AG20" i="21"/>
  <c r="BE20" i="21"/>
  <c r="AL20" i="11"/>
  <c r="I20" i="12"/>
  <c r="W20" i="17"/>
  <c r="T20" i="11"/>
  <c r="AF20" i="21"/>
  <c r="AD20" i="11"/>
  <c r="M20" i="11"/>
  <c r="AL20" i="16"/>
  <c r="AF20" i="16"/>
  <c r="AT20" i="16"/>
  <c r="AT20" i="20"/>
  <c r="BE20" i="16"/>
  <c r="H20" i="21"/>
  <c r="AY20" i="16"/>
  <c r="AF20" i="17"/>
  <c r="J20" i="16"/>
  <c r="AC20" i="16"/>
  <c r="S20" i="21"/>
  <c r="X20" i="21"/>
  <c r="P20" i="16"/>
  <c r="K20" i="17"/>
  <c r="S20" i="11"/>
  <c r="AG20" i="16"/>
  <c r="I20" i="11"/>
  <c r="AU20" i="16"/>
  <c r="BJ20" i="16"/>
  <c r="BS20" i="16"/>
  <c r="AQ20" i="16"/>
  <c r="BM20" i="16"/>
  <c r="J20" i="17"/>
  <c r="U20" i="11"/>
  <c r="AI20" i="16"/>
  <c r="AJ20" i="21"/>
  <c r="Q20" i="21"/>
  <c r="AI20" i="21"/>
  <c r="AG20" i="11"/>
  <c r="F20" i="12"/>
  <c r="AR20" i="11"/>
  <c r="H20" i="11"/>
  <c r="R20" i="21"/>
  <c r="V20" i="17"/>
  <c r="AY20" i="21"/>
  <c r="AW20" i="16"/>
  <c r="R20" i="11"/>
  <c r="AO20" i="21"/>
  <c r="V20" i="16"/>
  <c r="AL20" i="17"/>
  <c r="Q20" i="17"/>
  <c r="AD20" i="16"/>
  <c r="AI20" i="11"/>
  <c r="O20" i="17"/>
  <c r="AZ20" i="16"/>
  <c r="AN20" i="11"/>
  <c r="J20" i="11"/>
  <c r="Z20" i="17"/>
  <c r="AS20" i="17"/>
  <c r="BN20" i="16"/>
  <c r="BH20" i="16"/>
  <c r="AW20" i="21"/>
  <c r="BK20" i="16"/>
  <c r="M20" i="17"/>
  <c r="O20" i="11"/>
  <c r="BD19" i="8" l="1"/>
  <c r="BM19" i="11"/>
  <c r="V19" i="16"/>
  <c r="F21" i="11"/>
  <c r="BG19" i="11"/>
  <c r="BV21" i="16"/>
  <c r="BV19" i="16"/>
  <c r="G19" i="3"/>
  <c r="Q13" i="11"/>
  <c r="AO21" i="11"/>
  <c r="BG19" i="8"/>
  <c r="H19" i="2"/>
  <c r="I19" i="3"/>
  <c r="AQ20" i="11"/>
  <c r="AT20" i="21"/>
  <c r="AQ20" i="17"/>
  <c r="BL20" i="16"/>
  <c r="AP20" i="11"/>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AJ20" i="11"/>
  <c r="AM20" i="17"/>
  <c r="H19" i="7" l="1"/>
  <c r="I19" i="7"/>
  <c r="S19" i="11"/>
  <c r="T19" i="11" s="1"/>
  <c r="K19" i="12"/>
  <c r="T21"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<sst xmlns="http://schemas.openxmlformats.org/spreadsheetml/2006/main" count="2094" uniqueCount="913">
  <si>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</si>
  <si>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</si>
  <si>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</si>
  <si>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</si>
  <si>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</si>
  <si>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</si>
  <si>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</si>
  <si>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</si>
  <si>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</si>
  <si>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</si>
  <si>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</si>
  <si>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</si>
  <si>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</si>
  <si>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</si>
  <si>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</si>
  <si>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</si>
  <si>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</si>
  <si>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</si>
  <si>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</si>
  <si>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</si>
  <si>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</si>
  <si>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</si>
  <si>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</si>
  <si>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</si>
  <si>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</si>
  <si>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</si>
  <si>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</si>
  <si>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</si>
  <si>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</si>
  <si>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</si>
  <si>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</si>
  <si>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</si>
  <si>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</si>
  <si>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</si>
  <si>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</si>
  <si>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</si>
  <si>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</si>
  <si>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</si>
  <si>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</si>
  <si>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</si>
  <si>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</si>
  <si>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</si>
  <si>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</si>
  <si>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</si>
  <si>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</si>
  <si>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</si>
  <si>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</si>
  <si>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</si>
  <si>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</si>
  <si>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</si>
  <si>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</si>
  <si>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</si>
  <si>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</si>
  <si>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</si>
  <si>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</si>
  <si>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</si>
  <si>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</si>
  <si>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</si>
  <si>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</si>
  <si>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</si>
  <si>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</si>
  <si>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</si>
  <si>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</si>
  <si>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</si>
  <si>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</si>
  <si>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</si>
  <si>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</si>
  <si>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</si>
  <si>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</si>
  <si>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</si>
  <si>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</si>
  <si>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</si>
  <si>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</si>
  <si>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</si>
  <si>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</si>
  <si>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</si>
  <si>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</si>
  <si>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</si>
  <si>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</si>
  <si>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</si>
  <si>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</si>
  <si>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</si>
  <si>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</si>
  <si>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</si>
  <si>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</si>
  <si>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</si>
  <si>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</si>
  <si>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</si>
  <si>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</si>
  <si>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</si>
  <si>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</si>
  <si>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</si>
  <si>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</si>
  <si>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</si>
  <si>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</si>
  <si>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</si>
  <si>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</si>
  <si>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</si>
  <si>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</si>
  <si>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</si>
  <si>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</si>
  <si>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</si>
  <si>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</si>
  <si>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</si>
  <si>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</si>
  <si>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</si>
  <si>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</si>
  <si>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</si>
  <si>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</si>
  <si>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</si>
  <si>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</si>
  <si>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</si>
  <si>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</si>
  <si>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</si>
  <si>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</si>
  <si>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</si>
  <si>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</si>
  <si>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</si>
  <si>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</si>
  <si>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</si>
  <si>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</si>
  <si>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</si>
  <si>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</si>
  <si>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</si>
  <si>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</si>
  <si>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</si>
  <si>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</si>
  <si>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</si>
  <si>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</si>
  <si>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</si>
  <si>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</si>
  <si>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</si>
  <si>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</si>
  <si>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</si>
  <si>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</si>
  <si>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</si>
  <si>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</si>
  <si>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</si>
  <si>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</si>
  <si>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</si>
  <si>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</si>
  <si>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</si>
  <si>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</si>
  <si>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</si>
  <si>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</si>
  <si>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</si>
  <si>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</si>
  <si>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</si>
  <si>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</si>
  <si>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</si>
  <si>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</si>
  <si>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</si>
  <si>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</si>
  <si>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</si>
  <si>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</si>
  <si>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</si>
  <si>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</si>
  <si>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</si>
  <si>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</si>
  <si>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</si>
  <si>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</si>
  <si>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</si>
  <si>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</si>
  <si>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</si>
  <si>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</si>
  <si>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</si>
  <si>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</si>
  <si>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</si>
  <si>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</si>
  <si>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</si>
  <si>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</si>
  <si>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</si>
  <si>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</si>
  <si>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</si>
  <si>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</si>
  <si>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</si>
  <si>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</si>
  <si>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</si>
  <si>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</si>
  <si>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</si>
  <si>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</si>
  <si>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</si>
  <si>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</si>
  <si>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</si>
  <si>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</si>
  <si>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</si>
  <si>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</si>
  <si>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</si>
  <si>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</si>
  <si>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</si>
  <si>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</si>
  <si>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</si>
  <si>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</si>
  <si>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</si>
  <si>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</si>
  <si>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</si>
  <si>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</si>
  <si>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</si>
  <si>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</si>
  <si>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</si>
  <si>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</si>
  <si>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</si>
  <si>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</si>
  <si>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</si>
  <si>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</si>
  <si>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</si>
  <si>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</si>
  <si>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</si>
  <si>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</si>
  <si>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</si>
  <si>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</si>
  <si>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</si>
  <si>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</si>
  <si>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</si>
  <si>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</si>
  <si>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</si>
  <si>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</si>
  <si>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</si>
  <si>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</si>
  <si>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</si>
  <si>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</si>
  <si>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</si>
  <si>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</si>
  <si>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</si>
  <si>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</si>
  <si>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</si>
  <si>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</si>
  <si>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</si>
  <si>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</si>
  <si>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</si>
  <si>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</si>
  <si>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</si>
  <si>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</si>
  <si>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</si>
  <si>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</si>
  <si>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</si>
  <si>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</si>
  <si>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</si>
  <si>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</si>
  <si>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</si>
  <si>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</si>
  <si>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</si>
  <si>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</si>
  <si>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</si>
  <si>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</si>
  <si>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</si>
  <si>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</si>
  <si>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</si>
  <si>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</si>
  <si>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</si>
  <si>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</si>
  <si>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</si>
  <si>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</si>
  <si>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</si>
  <si>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</si>
  <si>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</si>
  <si>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</si>
  <si>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</si>
  <si>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</si>
  <si>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</si>
  <si>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</si>
  <si>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</si>
  <si>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</si>
  <si>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</si>
  <si>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</si>
  <si>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</si>
  <si>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</si>
  <si>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</si>
  <si>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</si>
  <si>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</si>
  <si>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</si>
  <si>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</si>
  <si>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</si>
  <si>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</si>
  <si>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</si>
  <si>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</si>
  <si>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</si>
  <si>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</si>
  <si>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</si>
  <si>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</si>
  <si>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</si>
  <si>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</si>
  <si>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</si>
  <si>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</si>
  <si>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</si>
  <si>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</si>
  <si>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</si>
  <si>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</si>
  <si>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</si>
  <si>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</si>
  <si>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</si>
  <si>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</si>
  <si>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</si>
  <si>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</si>
  <si>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</si>
  <si>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</si>
  <si>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</si>
  <si>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</si>
  <si>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</si>
  <si>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</si>
  <si>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</si>
  <si>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</si>
  <si>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</si>
  <si>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</si>
  <si>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</si>
  <si>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</si>
  <si>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</si>
  <si>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</si>
  <si>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</si>
  <si>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</si>
  <si>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</si>
  <si>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</si>
  <si>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</si>
  <si>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</si>
  <si>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</si>
  <si>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</si>
  <si>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</si>
  <si>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</si>
  <si>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</si>
  <si>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</si>
  <si>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</si>
  <si>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</si>
  <si>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</si>
  <si>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</si>
  <si>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</si>
  <si>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</si>
  <si>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</si>
  <si>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</si>
  <si>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</si>
  <si>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</si>
  <si>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</si>
  <si>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</si>
  <si>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</si>
  <si>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</si>
  <si>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</si>
  <si>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</si>
  <si>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</si>
  <si>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</si>
  <si>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</si>
  <si>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</si>
  <si>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</si>
  <si>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</si>
  <si>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</si>
  <si>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</si>
  <si>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</si>
  <si>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</si>
  <si>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</si>
  <si>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</si>
  <si>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</si>
  <si>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</si>
  <si>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</si>
  <si>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</si>
  <si>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</si>
  <si>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</si>
  <si>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</si>
  <si>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</si>
  <si>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</si>
  <si>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</si>
  <si>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</si>
  <si>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</si>
  <si>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</si>
  <si>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</si>
  <si>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</si>
  <si>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</si>
  <si>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</si>
  <si>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</si>
  <si>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</si>
  <si>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</si>
  <si>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</si>
  <si>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</si>
  <si>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</si>
  <si>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</si>
  <si>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</si>
  <si>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</si>
  <si>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</si>
  <si>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</si>
  <si>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</si>
  <si>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</si>
  <si>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</si>
  <si>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</si>
  <si>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</si>
  <si>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</si>
  <si>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</si>
  <si>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</si>
  <si>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</si>
  <si>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</si>
  <si>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</si>
  <si>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</si>
  <si>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</si>
  <si>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</si>
  <si>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</si>
  <si>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</si>
  <si>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</si>
  <si>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</si>
  <si>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</si>
  <si>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</si>
  <si>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</si>
  <si>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</si>
  <si>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</si>
  <si>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</si>
  <si>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</si>
  <si>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</si>
  <si>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</si>
  <si>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</si>
  <si>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</si>
  <si>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</si>
  <si>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</si>
  <si>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</si>
  <si>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</si>
  <si>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</si>
  <si>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</si>
  <si>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</si>
  <si>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</si>
  <si>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</si>
  <si>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</si>
  <si>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</si>
  <si>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</si>
  <si>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</si>
  <si>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</si>
  <si>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</si>
  <si>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</si>
  <si>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</si>
  <si>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</si>
  <si>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</si>
  <si>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</si>
  <si>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</si>
  <si>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</si>
  <si>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</si>
  <si>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</si>
  <si>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</si>
  <si>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</si>
  <si>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</si>
  <si>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</si>
  <si>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</si>
  <si>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</si>
  <si>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</si>
  <si>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</si>
  <si>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</si>
  <si>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</si>
  <si>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</si>
  <si>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</si>
  <si>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</si>
  <si>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</si>
  <si>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</si>
  <si>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</si>
  <si>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</si>
  <si>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</si>
  <si>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</si>
  <si>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</si>
  <si>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</si>
  <si>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</si>
  <si>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</si>
  <si>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</si>
  <si>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</si>
  <si>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</si>
  <si>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</si>
  <si>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</si>
  <si>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</si>
  <si>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</si>
  <si>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</si>
  <si>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</si>
  <si>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</si>
  <si>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</si>
  <si>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</si>
  <si>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</si>
  <si>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</si>
  <si>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</si>
  <si>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</si>
  <si>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</si>
  <si>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</si>
  <si>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</si>
  <si>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</si>
  <si>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</si>
  <si>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</si>
  <si>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</si>
  <si>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</si>
  <si>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</si>
  <si>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</si>
  <si>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</si>
  <si>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</si>
  <si>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</si>
  <si>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</si>
  <si>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</si>
  <si>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</si>
  <si>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</si>
  <si>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</si>
  <si>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</si>
  <si>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</si>
  <si>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</si>
  <si>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</si>
  <si>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</si>
  <si>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</si>
  <si>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</si>
  <si>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</si>
  <si>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</si>
  <si>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</si>
  <si>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</si>
  <si>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</si>
  <si>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</si>
  <si>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</si>
  <si>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</si>
  <si>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</si>
  <si>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</si>
  <si>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</si>
  <si>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</si>
  <si>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</si>
  <si>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</si>
  <si>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</si>
  <si>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</si>
  <si>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</si>
  <si>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</si>
  <si>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</si>
  <si>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</si>
  <si>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</si>
  <si>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</si>
  <si>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</si>
  <si>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</si>
  <si>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</si>
  <si>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</si>
  <si>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</si>
  <si>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</si>
  <si>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</si>
  <si>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</si>
  <si>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</si>
  <si>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</si>
  <si>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</si>
  <si>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</si>
  <si>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</si>
  <si>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</si>
  <si>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</si>
  <si>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</si>
  <si>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</si>
  <si>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</si>
  <si>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</si>
  <si>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</si>
  <si>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</si>
  <si>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</si>
  <si>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</si>
  <si>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</si>
  <si>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</si>
  <si>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</si>
  <si>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</si>
  <si>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</si>
  <si>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</si>
  <si>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</si>
  <si>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</si>
  <si>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</si>
  <si>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</si>
  <si>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</si>
  <si>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</si>
  <si>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</si>
  <si>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</si>
  <si>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</si>
  <si>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</si>
  <si>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</si>
  <si>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</si>
  <si>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</si>
  <si>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</si>
  <si>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</si>
  <si>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</si>
  <si>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</si>
  <si>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</si>
  <si>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</si>
  <si>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</si>
  <si>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</si>
  <si>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</si>
  <si>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</si>
  <si>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</si>
  <si>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</si>
  <si>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</si>
  <si>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</si>
  <si>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</si>
  <si>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</si>
  <si>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</si>
  <si>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</si>
  <si>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</si>
  <si>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</si>
  <si>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</si>
  <si>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</si>
  <si>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</si>
  <si>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</si>
  <si>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</si>
  <si>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</si>
  <si>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</si>
  <si>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</si>
  <si>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</si>
  <si>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</si>
  <si>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</si>
  <si>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</si>
  <si>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</si>
  <si>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</si>
  <si>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</si>
  <si>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</si>
  <si>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</si>
  <si>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</si>
  <si>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</si>
  <si>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</si>
  <si>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</si>
  <si>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</si>
  <si>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</si>
  <si>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</si>
  <si>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</si>
  <si>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</si>
  <si>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</si>
  <si>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</si>
  <si>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</si>
  <si>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</si>
  <si>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</si>
  <si>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</si>
  <si>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</si>
  <si>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</si>
  <si>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</si>
  <si>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</si>
  <si>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</si>
  <si>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</si>
  <si>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</si>
  <si>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</si>
  <si>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</si>
  <si>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</si>
  <si>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</si>
  <si>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</si>
  <si>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</si>
  <si>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</si>
  <si>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</si>
  <si>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</si>
  <si>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</si>
  <si>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</si>
  <si>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</si>
  <si>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</si>
  <si>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</si>
  <si>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</si>
  <si>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</si>
  <si>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</si>
  <si>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</si>
  <si>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</si>
  <si>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</si>
  <si>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</si>
  <si>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</si>
  <si>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</si>
  <si>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</si>
  <si>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</si>
  <si>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</si>
  <si>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</si>
  <si>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</si>
  <si>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</si>
  <si>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</si>
  <si>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</si>
  <si>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</si>
  <si>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</si>
  <si>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</si>
  <si>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</si>
  <si>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</si>
  <si>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</si>
  <si>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</si>
  <si>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</si>
  <si>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</si>
  <si>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</si>
  <si>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</si>
  <si>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</si>
  <si>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</si>
  <si>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</si>
  <si>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</si>
  <si>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</si>
  <si>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</si>
  <si>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</si>
  <si>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</si>
  <si>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</si>
  <si>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</si>
  <si>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</si>
  <si>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</si>
  <si>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</si>
  <si>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</si>
  <si>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</si>
  <si>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</si>
  <si>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</si>
  <si>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</si>
  <si>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</si>
  <si>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</si>
  <si>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</si>
  <si>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</si>
  <si>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</si>
  <si>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</si>
  <si>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</si>
  <si>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</si>
  <si>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</si>
  <si>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</si>
  <si>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</si>
  <si>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</si>
  <si>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</si>
  <si>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</si>
  <si>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</si>
  <si>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</si>
  <si>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</si>
  <si>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</si>
  <si>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</si>
  <si>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</si>
  <si>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</si>
  <si>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</si>
  <si>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</si>
  <si>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</si>
  <si>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</si>
  <si>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</si>
  <si>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</si>
  <si>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</si>
  <si>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</si>
  <si>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</si>
  <si>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</si>
  <si>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</si>
  <si>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</si>
  <si>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</si>
  <si>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</si>
  <si>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</si>
  <si>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</si>
  <si>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</si>
  <si>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</si>
  <si>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</si>
  <si>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</si>
  <si>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</si>
  <si>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</si>
  <si>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</si>
  <si>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</si>
  <si>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</si>
  <si>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</si>
  <si>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</si>
  <si>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</si>
  <si>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</si>
  <si>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</si>
  <si>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</si>
  <si>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</si>
  <si>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</si>
  <si>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</si>
  <si>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</si>
  <si>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</si>
  <si>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</si>
  <si>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</si>
  <si>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</si>
  <si>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</si>
  <si>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</si>
  <si>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</si>
  <si>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</si>
  <si>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</si>
  <si>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</si>
  <si>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</si>
  <si>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</si>
  <si>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</si>
  <si>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</si>
  <si>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</si>
  <si>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</si>
  <si>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</si>
  <si>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</si>
  <si>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</si>
  <si>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</si>
  <si>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</si>
  <si>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</si>
  <si>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</si>
  <si>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</si>
  <si>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</si>
  <si>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</si>
  <si>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</si>
  <si>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</si>
  <si>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</si>
  <si>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</si>
  <si>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</si>
  <si>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</si>
  <si>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</si>
  <si>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</si>
  <si>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</si>
  <si>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</si>
  <si>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</si>
  <si>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</si>
  <si>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</si>
  <si>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</si>
  <si>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</si>
  <si>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</si>
  <si>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</si>
  <si>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</si>
  <si>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</si>
  <si>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</si>
  <si>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</si>
  <si>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</si>
  <si>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</si>
  <si>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</si>
  <si>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</si>
  <si>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</si>
  <si>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</si>
  <si>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</si>
  <si>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</si>
  <si>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</si>
  <si>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</si>
  <si>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</si>
  <si>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</si>
  <si>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</si>
  <si>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</si>
  <si>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</si>
  <si>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</si>
  <si>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</si>
  <si>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</si>
  <si>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</si>
  <si>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</si>
  <si>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</si>
  <si>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</si>
  <si>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</si>
  <si>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</si>
  <si>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</si>
  <si>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</si>
  <si>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</si>
  <si>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</si>
  <si>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</si>
  <si>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</si>
  <si>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</si>
  <si>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</si>
  <si>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</si>
  <si>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</si>
  <si>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</si>
  <si>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</si>
  <si>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</si>
  <si>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</si>
  <si>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</si>
  <si>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</si>
  <si>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</si>
  <si>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</si>
  <si>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</si>
  <si>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</si>
  <si>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</si>
  <si>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</si>
  <si>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</si>
  <si>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</si>
  <si>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</si>
  <si>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</si>
  <si>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</si>
  <si>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</si>
  <si>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</si>
  <si>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</si>
  <si>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</si>
  <si>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</si>
  <si>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</si>
  <si>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</si>
  <si>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</si>
  <si>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</si>
  <si>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</si>
  <si>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</si>
  <si>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</si>
  <si>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</si>
  <si>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</si>
  <si>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</si>
  <si>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</si>
  <si>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</si>
  <si>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</si>
  <si>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</si>
  <si>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</si>
  <si>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</si>
  <si>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</si>
  <si>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</si>
  <si>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</si>
  <si>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</si>
  <si>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</si>
  <si>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</si>
  <si>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</si>
  <si>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</si>
  <si>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</si>
  <si>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</si>
  <si>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</si>
  <si>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</si>
  <si>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</si>
  <si>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</si>
  <si>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</si>
  <si>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</si>
  <si>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</si>
  <si>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</si>
  <si>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</si>
  <si>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</si>
  <si>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</si>
  <si>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</si>
  <si>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</si>
  <si>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</si>
  <si>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</si>
  <si>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</si>
  <si>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</si>
  <si>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</si>
  <si>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</si>
  <si>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</si>
  <si>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</si>
  <si>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</si>
  <si>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</si>
  <si>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</si>
  <si>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</si>
  <si>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</si>
  <si>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</si>
  <si>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</si>
  <si>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</si>
  <si>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</si>
  <si>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 xml:space="preserve">TVOLU415+PRONO618 </t>
  </si>
  <si>
    <t>TVOLU115+PRONO118</t>
  </si>
  <si>
    <t>TVOLU315+PRONO418+PRONO518</t>
  </si>
  <si>
    <t>TCON1111+MOVCO111+INCID111+MECAU111+TCON2111+TDERE118+NVL(CONCU119,0)+NVL(ICTOT119,0)+NVL(EXPAR119,0)+NVL(PCTOT119,0)+NVL(MONIT119,0)+NVL(JURIS119,0)+NVL(DILTO119,0)+NVL(MEDCA119,0)+NVL(ASTOT119,0)+INTEV115+PROCO118+PROES118+MEDTO118+INCTO118+AUTME115+SOLRE115+NVL(MICTO119,0)</t>
  </si>
  <si>
    <t>TCON1111+MOVCO111+INCID111+MECAU111+TCON2111+TDERE118+INTEV115+PROCO118+PROES118+MEDTO118+INCTO118+AUTME115+SOLRE115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</si>
  <si>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</si>
  <si>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</si>
  <si>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TCONT211+TCON2211+MOVCO211+INCID211+MECAU211+TDERE218+TDERE318+INTEV215+PROCO218+PROCO318+PROES218+MEDTO218+INCTO218+SOLRE215+AUTME215</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</si>
  <si>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</si>
  <si>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</si>
  <si>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TCON1311+TCON2311+MOVCO511+MOVCO611+MOVCO711+INCID311+MECAU311+TDERE418+TDERE518+INTEV315+PROCO518+PROES318+MEDTO318+INCTO318+AUTME315+SOLRE315</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</si>
  <si>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</si>
  <si>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</si>
  <si>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TCON1411+TCON2411+TDERE618+INTEV415+PROCO618+PROES418+MOVCO811+INCID411+MECAU411+MEDTO418+INCTO418+AUTME415+SOLRE415</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</si>
  <si>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</si>
  <si>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</si>
  <si>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Fecha Informe: 03 may. 2024</t>
  </si>
  <si>
    <t>Tribunales de Justicia</t>
  </si>
  <si>
    <t>ASTURIAS</t>
  </si>
  <si>
    <t>Provincias</t>
  </si>
  <si>
    <t>Resumenes por Partidos Judiciales</t>
  </si>
  <si>
    <t>LENA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</si>
</sst>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3">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1"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1"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0" fontId="13" fillId="0" borderId="0"/>
    <xf numFmtId="0" fontId="13" fillId="0" borderId="0"/>
    <xf numFmtId="0" fontId="77"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1"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54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Font="1" applyBorder="1" applyProtection="1">
      <protection locked="0"/>
    </xf>
    <xf numFmtId="0" fontId="16" fillId="0" borderId="35" xfId="0"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6" fillId="0" borderId="12" xfId="0" applyFont="1" applyBorder="1" applyProtection="1">
      <protection locked="0"/>
    </xf>
    <xf numFmtId="0" fontId="16" fillId="0" borderId="14" xfId="0" applyFont="1" applyBorder="1" applyProtection="1">
      <protection locked="0"/>
    </xf>
    <xf numFmtId="0" fontId="16" fillId="0" borderId="39" xfId="0" applyFont="1" applyBorder="1" applyProtection="1">
      <protection locked="0"/>
    </xf>
    <xf numFmtId="0" fontId="16" fillId="0" borderId="38" xfId="0" applyFont="1" applyBorder="1" applyAlignment="1" applyProtection="1">
      <alignment wrapText="1"/>
      <protection locked="0"/>
    </xf>
    <xf numFmtId="0" fontId="16" fillId="0" borderId="18" xfId="0" applyFont="1" applyBorder="1" applyProtection="1">
      <protection locked="0"/>
    </xf>
    <xf numFmtId="0" fontId="16" fillId="4" borderId="8" xfId="0" applyFont="1" applyFill="1" applyBorder="1" applyProtection="1">
      <protection locked="0"/>
    </xf>
    <xf numFmtId="0" fontId="16" fillId="4" borderId="11" xfId="0" applyFont="1" applyFill="1" applyBorder="1" applyProtection="1">
      <protection locked="0"/>
    </xf>
    <xf numFmtId="0" fontId="16" fillId="4" borderId="41" xfId="0" applyFont="1" applyFill="1" applyBorder="1" applyProtection="1">
      <protection locked="0"/>
    </xf>
    <xf numFmtId="0" fontId="16" fillId="0" borderId="36" xfId="0" applyFont="1" applyBorder="1" applyProtection="1">
      <protection locked="0"/>
    </xf>
    <xf numFmtId="0" fontId="16" fillId="0" borderId="39" xfId="0" applyFont="1" applyBorder="1" applyAlignment="1" applyProtection="1">
      <alignment wrapText="1"/>
      <protection locked="0"/>
    </xf>
    <xf numFmtId="0" fontId="16" fillId="0" borderId="5" xfId="0" applyFont="1" applyBorder="1" applyProtection="1">
      <protection locked="0"/>
    </xf>
    <xf numFmtId="0" fontId="16" fillId="4" borderId="46" xfId="0" applyFont="1" applyFill="1" applyBorder="1" applyProtection="1">
      <protection locked="0"/>
    </xf>
    <xf numFmtId="0" fontId="16" fillId="4" borderId="24" xfId="0" applyFont="1" applyFill="1" applyBorder="1" applyProtection="1">
      <protection locked="0"/>
    </xf>
    <xf numFmtId="2" fontId="44" fillId="0" borderId="0" xfId="0" applyNumberFormat="1" applyFont="1" applyAlignment="1">
      <alignment horizontal="left"/>
    </xf>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xf numFmtId="0" fontId="48" fillId="0" borderId="27" xfId="0" applyFont="1" applyBorder="1"/>
    <xf numFmtId="0" fontId="52" fillId="0" borderId="27" xfId="0" applyFont="1" applyBorder="1"/>
    <xf numFmtId="49" fontId="48" fillId="0" borderId="0" xfId="0" applyNumberFormat="1" applyFont="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Font="1" applyBorder="1" applyProtection="1">
      <protection locked="0"/>
    </xf>
    <xf numFmtId="0" fontId="50" fillId="0" borderId="16" xfId="0" applyFont="1" applyBorder="1" applyAlignment="1">
      <alignment horizontal="right"/>
    </xf>
    <xf numFmtId="0" fontId="51" fillId="0" borderId="18" xfId="0" applyFont="1" applyBorder="1" applyProtection="1">
      <protection locked="0"/>
    </xf>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Alignment="1">
      <alignment horizontal="left" vertical="center"/>
    </xf>
    <xf numFmtId="0" fontId="48" fillId="0" borderId="26" xfId="14" applyFont="1" applyBorder="1" applyAlignment="1">
      <alignment horizontal="left" vertical="center"/>
    </xf>
    <xf numFmtId="0" fontId="48" fillId="0" borderId="0" xfId="14" applyFont="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Font="1" applyAlignment="1">
      <alignment horizontal="center"/>
    </xf>
    <xf numFmtId="0" fontId="54" fillId="2" borderId="0" xfId="0" applyFont="1" applyFill="1" applyAlignment="1">
      <alignment horizontal="left" vertical="center"/>
    </xf>
    <xf numFmtId="0" fontId="48" fillId="0" borderId="44" xfId="0"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Font="1" applyBorder="1" applyProtection="1">
      <protection locked="0"/>
    </xf>
    <xf numFmtId="0" fontId="16" fillId="0" borderId="46" xfId="0" applyFont="1" applyBorder="1" applyProtection="1">
      <protection locked="0"/>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Font="1" applyBorder="1" applyAlignment="1">
      <alignment horizontal="right"/>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Font="1" applyBorder="1" applyAlignment="1">
      <alignment horizontal="right" shrinkToFit="1"/>
    </xf>
    <xf numFmtId="9" fontId="39" fillId="0" borderId="5" xfId="15" applyFont="1" applyFill="1" applyBorder="1" applyAlignment="1">
      <alignment horizontal="right" shrinkToFit="1"/>
    </xf>
    <xf numFmtId="3" fontId="24" fillId="0" borderId="4" xfId="14" applyNumberFormat="1" applyFont="1" applyBorder="1" applyAlignment="1">
      <alignment horizontal="left" vertical="center"/>
    </xf>
    <xf numFmtId="0" fontId="39" fillId="0" borderId="55" xfId="0" applyFont="1" applyBorder="1" applyAlignment="1">
      <alignment horizontal="right"/>
    </xf>
    <xf numFmtId="1" fontId="39" fillId="0" borderId="19" xfId="0" applyNumberFormat="1" applyFont="1" applyBorder="1" applyAlignment="1">
      <alignment horizontal="right" shrinkToFit="1"/>
    </xf>
    <xf numFmtId="0" fontId="39" fillId="0" borderId="57" xfId="0" applyFont="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64" fillId="0" borderId="0" xfId="0" applyFont="1" applyAlignment="1">
      <alignment horizontal="left"/>
    </xf>
    <xf numFmtId="0" fontId="64" fillId="0" borderId="0" xfId="0" applyFont="1"/>
    <xf numFmtId="166" fontId="64" fillId="0" borderId="0" xfId="0" applyNumberFormat="1" applyFont="1" applyAlignment="1">
      <alignment horizontal="left"/>
    </xf>
    <xf numFmtId="166" fontId="29" fillId="0" borderId="0" xfId="0" applyNumberFormat="1" applyFont="1"/>
    <xf numFmtId="49" fontId="29" fillId="0" borderId="0" xfId="0" applyNumberFormat="1" applyFont="1" applyAlignment="1">
      <alignment horizontal="left"/>
    </xf>
    <xf numFmtId="49" fontId="29" fillId="0" borderId="0" xfId="0" applyNumberFormat="1" applyFont="1"/>
    <xf numFmtId="2" fontId="64"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49" fontId="29" fillId="0" borderId="35" xfId="0" applyNumberFormat="1" applyFont="1" applyBorder="1" applyAlignment="1">
      <alignment horizontal="justify" vertical="center" wrapText="1"/>
    </xf>
    <xf numFmtId="0" fontId="29" fillId="0" borderId="35" xfId="0" applyFont="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49" fontId="29" fillId="0" borderId="6" xfId="0" applyNumberFormat="1" applyFont="1" applyBorder="1" applyAlignment="1">
      <alignment horizontal="justify" vertical="center" wrapText="1"/>
    </xf>
    <xf numFmtId="0" fontId="29" fillId="0" borderId="6" xfId="0" applyFont="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166" fontId="29" fillId="0" borderId="56" xfId="0" applyNumberFormat="1" applyFont="1" applyBorder="1" applyAlignment="1">
      <alignment horizontal="right" shrinkToFit="1"/>
    </xf>
    <xf numFmtId="3" fontId="29" fillId="0" borderId="53" xfId="0" applyNumberFormat="1" applyFont="1" applyBorder="1" applyAlignment="1">
      <alignment horizontal="right" shrinkToFit="1"/>
    </xf>
    <xf numFmtId="3" fontId="29" fillId="0" borderId="56" xfId="0" applyNumberFormat="1" applyFont="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Border="1" applyAlignment="1">
      <alignment horizontal="right" vertical="center" shrinkToFit="1"/>
    </xf>
    <xf numFmtId="0" fontId="29" fillId="0" borderId="74" xfId="0" applyFont="1" applyBorder="1" applyAlignment="1">
      <alignment horizontal="justify" vertical="top" wrapText="1"/>
    </xf>
    <xf numFmtId="4" fontId="29" fillId="0" borderId="5" xfId="0" applyNumberFormat="1" applyFont="1" applyBorder="1" applyAlignment="1">
      <alignment horizontal="right" shrinkToFit="1"/>
    </xf>
    <xf numFmtId="169" fontId="29" fillId="0" borderId="16" xfId="0" applyNumberFormat="1" applyFont="1" applyBorder="1" applyAlignment="1">
      <alignment horizontal="right" shrinkToFit="1"/>
    </xf>
    <xf numFmtId="0" fontId="29" fillId="0" borderId="62" xfId="0" applyFont="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Font="1" applyBorder="1" applyAlignment="1">
      <alignment horizontal="right" shrinkToFit="1"/>
    </xf>
    <xf numFmtId="0" fontId="65" fillId="0" borderId="0" xfId="0" applyFont="1"/>
    <xf numFmtId="0" fontId="66" fillId="0" borderId="0" xfId="0" applyFont="1" applyAlignment="1">
      <alignment horizontal="left" vertical="center"/>
    </xf>
    <xf numFmtId="0" fontId="66"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Alignment="1">
      <alignment horizontal="left" vertical="center"/>
    </xf>
    <xf numFmtId="169" fontId="29" fillId="0" borderId="38" xfId="0" applyNumberFormat="1" applyFont="1" applyBorder="1" applyAlignment="1">
      <alignment horizontal="right" shrinkToFit="1"/>
    </xf>
    <xf numFmtId="0" fontId="29" fillId="0" borderId="38" xfId="0" applyFont="1" applyBorder="1" applyAlignment="1">
      <alignment horizontal="right" shrinkToFit="1"/>
    </xf>
    <xf numFmtId="0" fontId="8" fillId="0" borderId="0" xfId="14" applyFont="1" applyAlignment="1">
      <alignment horizontal="left" vertical="center" wrapText="1"/>
    </xf>
    <xf numFmtId="0" fontId="8" fillId="0" borderId="0" xfId="0" applyFont="1"/>
    <xf numFmtId="0" fontId="67" fillId="0" borderId="0" xfId="0" applyFont="1"/>
    <xf numFmtId="0" fontId="29" fillId="0" borderId="55" xfId="0" applyFont="1" applyBorder="1" applyAlignment="1">
      <alignment horizontal="right" shrinkToFit="1"/>
    </xf>
    <xf numFmtId="0" fontId="29" fillId="0" borderId="46"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Font="1" applyFill="1" applyBorder="1" applyAlignment="1">
      <alignment horizontal="right" vertical="center" shrinkToFit="1"/>
    </xf>
    <xf numFmtId="0" fontId="39" fillId="0" borderId="0" xfId="0" applyFont="1"/>
    <xf numFmtId="166" fontId="39" fillId="0" borderId="0" xfId="0" applyNumberFormat="1" applyFont="1"/>
    <xf numFmtId="166" fontId="39" fillId="0" borderId="0" xfId="15" applyNumberFormat="1" applyFont="1"/>
    <xf numFmtId="49" fontId="39" fillId="0" borderId="0" xfId="0" applyNumberFormat="1" applyFont="1"/>
    <xf numFmtId="169" fontId="39" fillId="0" borderId="16" xfId="0" applyNumberFormat="1" applyFont="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68" fontId="64"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4"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 fontId="39" fillId="14" borderId="5" xfId="0" applyNumberFormat="1" applyFont="1" applyFill="1" applyBorder="1" applyAlignment="1">
      <alignment horizontal="right" shrinkToFit="1"/>
    </xf>
    <xf numFmtId="0" fontId="64"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9" fontId="0" fillId="0" borderId="0" xfId="15" applyFont="1"/>
    <xf numFmtId="9" fontId="48" fillId="0" borderId="0" xfId="15" applyFont="1"/>
    <xf numFmtId="0" fontId="68" fillId="0" borderId="0" xfId="0" applyFont="1" applyAlignment="1">
      <alignment vertical="center"/>
    </xf>
    <xf numFmtId="0" fontId="69" fillId="0" borderId="0" xfId="0" applyFont="1" applyAlignment="1">
      <alignment horizontal="left" vertical="center"/>
    </xf>
    <xf numFmtId="9" fontId="69" fillId="0" borderId="0" xfId="15" applyFont="1" applyAlignment="1">
      <alignment horizontal="left" vertical="center"/>
    </xf>
    <xf numFmtId="0" fontId="68" fillId="0" borderId="0" xfId="0" applyFont="1"/>
    <xf numFmtId="0" fontId="70" fillId="0" borderId="0" xfId="0" applyFont="1"/>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Font="1" applyBorder="1" applyAlignment="1">
      <alignment horizontal="right" shrinkToFit="1"/>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99" xfId="0" applyNumberFormat="1" applyFont="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64" fillId="0" borderId="0" xfId="0" applyFont="1" applyAlignment="1">
      <alignment horizontal="left" wrapText="1"/>
    </xf>
    <xf numFmtId="0" fontId="64" fillId="0" borderId="0" xfId="0" applyFont="1" applyAlignment="1">
      <alignment wrapText="1"/>
    </xf>
    <xf numFmtId="0" fontId="44" fillId="0" borderId="0" xfId="0" applyFont="1" applyAlignment="1">
      <alignment horizontal="left" wrapText="1"/>
    </xf>
    <xf numFmtId="168" fontId="64" fillId="0" borderId="0" xfId="0" applyNumberFormat="1" applyFont="1" applyAlignment="1">
      <alignment horizontal="left" wrapText="1"/>
    </xf>
    <xf numFmtId="166" fontId="64" fillId="0" borderId="0" xfId="0" applyNumberFormat="1" applyFont="1" applyAlignment="1">
      <alignment horizontal="left" wrapText="1"/>
    </xf>
    <xf numFmtId="0" fontId="64" fillId="0" borderId="0" xfId="0" applyFont="1" applyAlignment="1">
      <alignment horizontal="left" vertical="center" wrapText="1"/>
    </xf>
    <xf numFmtId="49" fontId="29" fillId="0" borderId="0" xfId="0" applyNumberFormat="1" applyFont="1" applyAlignment="1">
      <alignment horizontal="left" wrapText="1"/>
    </xf>
    <xf numFmtId="49" fontId="29" fillId="0" borderId="0" xfId="0" applyNumberFormat="1" applyFont="1" applyAlignment="1">
      <alignment wrapText="1"/>
    </xf>
    <xf numFmtId="2" fontId="64" fillId="0" borderId="0" xfId="0" applyNumberFormat="1" applyFont="1" applyAlignment="1">
      <alignment horizontal="left" wrapText="1"/>
    </xf>
    <xf numFmtId="2" fontId="44" fillId="0" borderId="0" xfId="0" applyNumberFormat="1" applyFont="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Border="1" applyAlignment="1">
      <alignment horizontal="right" wrapText="1"/>
    </xf>
    <xf numFmtId="1" fontId="39" fillId="0" borderId="53" xfId="0" applyNumberFormat="1" applyFont="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3" fontId="39" fillId="0" borderId="72" xfId="0" applyNumberFormat="1" applyFont="1" applyBorder="1" applyAlignment="1">
      <alignment horizontal="right" wrapText="1" shrinkToFit="1"/>
    </xf>
    <xf numFmtId="3" fontId="39" fillId="0" borderId="5"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2" fontId="39" fillId="0" borderId="5"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Font="1" applyBorder="1" applyAlignment="1">
      <alignment horizontal="right" wrapText="1" shrinkToFit="1"/>
    </xf>
    <xf numFmtId="1" fontId="29" fillId="0" borderId="6" xfId="0" applyNumberFormat="1" applyFont="1" applyBorder="1" applyAlignment="1" applyProtection="1">
      <alignment wrapText="1"/>
      <protection locked="0"/>
    </xf>
    <xf numFmtId="166" fontId="39" fillId="0" borderId="5" xfId="15"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Border="1" applyAlignment="1">
      <alignment horizontal="right" wrapText="1" shrinkToFit="1"/>
    </xf>
    <xf numFmtId="3" fontId="29" fillId="0" borderId="53" xfId="0" applyNumberFormat="1" applyFont="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9" fontId="39" fillId="0" borderId="5" xfId="15"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Border="1" applyAlignment="1">
      <alignment horizontal="left" vertical="center" wrapText="1"/>
    </xf>
    <xf numFmtId="168" fontId="24" fillId="0" borderId="52" xfId="14" applyNumberFormat="1" applyFont="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Font="1" applyFill="1" applyBorder="1" applyAlignment="1">
      <alignment horizontal="right" vertical="center" wrapText="1" shrinkToFit="1"/>
    </xf>
    <xf numFmtId="0" fontId="39" fillId="0" borderId="0" xfId="0" applyFont="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4" fontId="29" fillId="0" borderId="5" xfId="0" applyNumberFormat="1" applyFont="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5" fillId="0" borderId="0" xfId="0" applyFont="1" applyAlignment="1">
      <alignment wrapText="1"/>
    </xf>
    <xf numFmtId="168" fontId="41" fillId="0" borderId="66" xfId="0" applyNumberFormat="1" applyFont="1" applyBorder="1" applyAlignment="1">
      <alignment horizontal="right" shrinkToFit="1"/>
    </xf>
    <xf numFmtId="168" fontId="41" fillId="0" borderId="67" xfId="0" applyNumberFormat="1" applyFont="1" applyBorder="1" applyAlignment="1">
      <alignment horizontal="right" shrinkToFit="1"/>
    </xf>
    <xf numFmtId="2" fontId="39" fillId="0" borderId="54" xfId="0" applyNumberFormat="1" applyFont="1" applyBorder="1" applyAlignment="1">
      <alignment horizontal="right" wrapText="1"/>
    </xf>
    <xf numFmtId="168" fontId="41" fillId="0" borderId="66" xfId="0" applyNumberFormat="1" applyFont="1" applyBorder="1" applyAlignment="1">
      <alignment horizontal="right" wrapText="1" shrinkToFit="1"/>
    </xf>
    <xf numFmtId="168" fontId="41" fillId="0" borderId="67" xfId="0" applyNumberFormat="1" applyFont="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4" fillId="0" borderId="0" xfId="0" applyNumberFormat="1" applyFont="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19" borderId="16" xfId="0" applyFont="1" applyFill="1" applyBorder="1" applyProtection="1">
      <protection locked="0"/>
    </xf>
    <xf numFmtId="0" fontId="16" fillId="19" borderId="12" xfId="0" applyFont="1" applyFill="1" applyBorder="1" applyProtection="1">
      <protection locked="0"/>
    </xf>
    <xf numFmtId="0" fontId="16" fillId="19" borderId="38" xfId="0" applyFont="1" applyFill="1" applyBorder="1" applyProtection="1">
      <protection locked="0"/>
    </xf>
    <xf numFmtId="9" fontId="39" fillId="0" borderId="35" xfId="15" applyFont="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0"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4" fillId="18" borderId="59" xfId="10" applyNumberFormat="1" applyFont="1" applyFill="1" applyBorder="1" applyAlignment="1">
      <alignment horizontal="right"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2" fontId="39" fillId="0" borderId="35" xfId="0" applyNumberFormat="1" applyFont="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Alignment="1">
      <alignment horizontal="right" shrinkToFit="1"/>
    </xf>
    <xf numFmtId="4" fontId="13" fillId="0" borderId="0" xfId="0" applyNumberFormat="1" applyFont="1" applyAlignment="1">
      <alignment horizontal="right" shrinkToFit="1"/>
    </xf>
    <xf numFmtId="0" fontId="73" fillId="0" borderId="0" xfId="0" applyFont="1" applyAlignment="1">
      <alignment horizontal="center" vertical="center"/>
    </xf>
    <xf numFmtId="0" fontId="73"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4" fillId="0" borderId="65" xfId="0" applyFont="1" applyBorder="1"/>
    <xf numFmtId="49" fontId="74" fillId="0" borderId="65" xfId="0" applyNumberFormat="1" applyFont="1" applyBorder="1"/>
    <xf numFmtId="0" fontId="74" fillId="10" borderId="23" xfId="0" applyFont="1" applyFill="1" applyBorder="1" applyAlignment="1">
      <alignment horizontal="center"/>
    </xf>
    <xf numFmtId="0" fontId="24" fillId="0" borderId="0" xfId="0" applyFont="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1" borderId="46" xfId="0" applyNumberFormat="1" applyFont="1" applyFill="1" applyBorder="1"/>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5" fillId="0" borderId="0" xfId="0" applyFont="1" applyAlignment="1">
      <alignment horizontal="left" vertical="center"/>
    </xf>
    <xf numFmtId="0" fontId="0" fillId="22" borderId="0" xfId="0" applyFill="1"/>
    <xf numFmtId="0" fontId="39" fillId="0" borderId="53" xfId="0" applyFont="1" applyBorder="1" applyAlignment="1">
      <alignment horizontal="right"/>
    </xf>
    <xf numFmtId="2" fontId="39" fillId="0" borderId="72" xfId="0" applyNumberFormat="1" applyFont="1" applyBorder="1" applyAlignment="1">
      <alignment horizontal="right" shrinkToFit="1"/>
    </xf>
    <xf numFmtId="0" fontId="39" fillId="0" borderId="72" xfId="0"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39" fillId="0" borderId="5"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Font="1" applyFill="1" applyBorder="1" applyAlignment="1">
      <alignment horizontal="right" wrapText="1" shrinkToFit="1"/>
    </xf>
    <xf numFmtId="0" fontId="0" fillId="0" borderId="0" xfId="0" applyAlignment="1">
      <alignment horizontal="center"/>
    </xf>
    <xf numFmtId="0" fontId="76" fillId="0" borderId="0" xfId="0" applyFont="1" applyAlignment="1">
      <alignment horizontal="left" vertical="center"/>
    </xf>
    <xf numFmtId="0" fontId="27" fillId="21"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3" borderId="5" xfId="0" applyNumberFormat="1" applyFill="1" applyBorder="1" applyProtection="1">
      <protection locked="0"/>
    </xf>
    <xf numFmtId="1" fontId="16" fillId="23"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1"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0" fillId="0" borderId="18" xfId="0" applyNumberFormat="1" applyFont="1" applyBorder="1" applyAlignment="1">
      <alignment horizontal="right"/>
    </xf>
    <xf numFmtId="2" fontId="16" fillId="27"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4" borderId="115" xfId="0" applyFont="1" applyFill="1" applyBorder="1" applyAlignment="1">
      <alignment horizontal="center" vertical="center" wrapText="1"/>
    </xf>
    <xf numFmtId="0" fontId="26" fillId="24" borderId="90" xfId="0" applyFont="1" applyFill="1" applyBorder="1" applyAlignment="1">
      <alignment horizontal="center" vertical="center" wrapText="1"/>
    </xf>
    <xf numFmtId="0" fontId="26" fillId="24"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26" fillId="24" borderId="116" xfId="0" applyFont="1" applyFill="1" applyBorder="1" applyAlignment="1">
      <alignment horizontal="center" vertical="center" wrapText="1"/>
    </xf>
    <xf numFmtId="0" fontId="26" fillId="24" borderId="63" xfId="0" applyFont="1" applyFill="1" applyBorder="1" applyAlignment="1">
      <alignment horizontal="center" vertical="center" wrapText="1"/>
    </xf>
    <xf numFmtId="0" fontId="26" fillId="24" borderId="91" xfId="0" applyFont="1" applyFill="1" applyBorder="1" applyAlignment="1">
      <alignment horizontal="center" vertical="center" wrapText="1"/>
    </xf>
    <xf numFmtId="0" fontId="26" fillId="24" borderId="112" xfId="0" applyFont="1" applyFill="1" applyBorder="1" applyAlignment="1">
      <alignment horizontal="center" vertical="center" wrapText="1"/>
    </xf>
    <xf numFmtId="0" fontId="26" fillId="24" borderId="85" xfId="0" applyFont="1" applyFill="1" applyBorder="1" applyAlignment="1">
      <alignment horizontal="center" vertical="center" wrapText="1"/>
    </xf>
    <xf numFmtId="0" fontId="26" fillId="24"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0" fontId="16" fillId="0" borderId="0" xfId="0" applyFont="1"/>
    <xf numFmtId="0" fontId="16" fillId="0" borderId="62" xfId="0" applyFont="1" applyBorder="1"/>
    <xf numFmtId="0" fontId="16" fillId="0" borderId="0" xfId="0" applyFont="1" applyAlignment="1">
      <alignment horizontal="left"/>
    </xf>
    <xf numFmtId="0" fontId="16" fillId="0" borderId="62" xfId="0" applyFont="1" applyBorder="1" applyAlignment="1">
      <alignment horizontal="left"/>
    </xf>
    <xf numFmtId="0" fontId="15" fillId="10" borderId="74" xfId="0" applyFont="1" applyFill="1" applyBorder="1" applyAlignment="1">
      <alignment horizontal="center"/>
    </xf>
    <xf numFmtId="0" fontId="19" fillId="0" borderId="25" xfId="0" applyFont="1" applyBorder="1" applyAlignment="1">
      <alignment horizontal="center"/>
    </xf>
    <xf numFmtId="0" fontId="19" fillId="0" borderId="1" xfId="0" applyFont="1" applyBorder="1" applyAlignment="1">
      <alignment horizontal="center"/>
    </xf>
    <xf numFmtId="0" fontId="19" fillId="0" borderId="28" xfId="0" applyFont="1" applyBorder="1" applyAlignment="1">
      <alignment horizontal="center"/>
    </xf>
    <xf numFmtId="0" fontId="19" fillId="0" borderId="4" xfId="0" applyFont="1" applyBorder="1" applyAlignment="1">
      <alignment horizontal="center"/>
    </xf>
    <xf numFmtId="0" fontId="78" fillId="0" borderId="25" xfId="0" applyFont="1" applyBorder="1" applyAlignment="1">
      <alignment horizontal="center" vertical="center"/>
    </xf>
    <xf numFmtId="0" fontId="78" fillId="0" borderId="26" xfId="0" applyFont="1" applyBorder="1" applyAlignment="1">
      <alignment horizontal="center" vertical="center"/>
    </xf>
    <xf numFmtId="0" fontId="78" fillId="0" borderId="1" xfId="0" applyFont="1" applyBorder="1" applyAlignment="1">
      <alignment horizontal="center" vertical="center"/>
    </xf>
    <xf numFmtId="0" fontId="78" fillId="0" borderId="28" xfId="0" applyFont="1" applyBorder="1" applyAlignment="1">
      <alignment horizontal="center" vertical="center"/>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74" fillId="10" borderId="22" xfId="0" applyFont="1" applyFill="1" applyBorder="1" applyAlignment="1">
      <alignment horizontal="center"/>
    </xf>
    <xf numFmtId="0" fontId="74" fillId="10" borderId="23" xfId="0" applyFont="1" applyFill="1" applyBorder="1" applyAlignment="1">
      <alignment horizontal="center"/>
    </xf>
    <xf numFmtId="0" fontId="74"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6" fillId="26" borderId="94" xfId="0" applyFont="1" applyFill="1" applyBorder="1" applyAlignment="1">
      <alignment horizontal="center" vertical="center" wrapText="1"/>
    </xf>
    <xf numFmtId="0" fontId="26" fillId="26" borderId="86" xfId="0" applyFont="1" applyFill="1" applyBorder="1" applyAlignment="1">
      <alignment horizontal="center" vertical="center" wrapText="1"/>
    </xf>
    <xf numFmtId="0" fontId="26" fillId="26"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5" borderId="94" xfId="0" applyNumberFormat="1" applyFont="1" applyFill="1" applyBorder="1" applyAlignment="1">
      <alignment horizontal="center" vertical="center" wrapText="1"/>
    </xf>
    <xf numFmtId="1" fontId="26" fillId="25" borderId="86" xfId="0" applyNumberFormat="1" applyFont="1" applyFill="1" applyBorder="1" applyAlignment="1">
      <alignment horizontal="center" vertical="center" wrapText="1"/>
    </xf>
    <xf numFmtId="1" fontId="26" fillId="25" borderId="97" xfId="0" applyNumberFormat="1" applyFont="1" applyFill="1" applyBorder="1" applyAlignment="1">
      <alignment horizontal="center" vertical="center" wrapText="1"/>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26" fillId="4" borderId="112" xfId="0" applyFont="1" applyFill="1" applyBorder="1" applyAlignment="1">
      <alignment horizontal="center" vertical="center" wrapText="1"/>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168" fontId="26" fillId="26" borderId="112" xfId="12" applyNumberFormat="1" applyFont="1" applyFill="1" applyBorder="1" applyAlignment="1">
      <alignment horizontal="center" vertical="center" wrapText="1"/>
    </xf>
    <xf numFmtId="168" fontId="26" fillId="26" borderId="85" xfId="12" applyNumberFormat="1" applyFont="1" applyFill="1" applyBorder="1" applyAlignment="1">
      <alignment horizontal="center" vertical="center" wrapText="1"/>
    </xf>
    <xf numFmtId="168" fontId="26"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15"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35" fillId="2" borderId="68" xfId="0" applyFont="1" applyFill="1" applyBorder="1" applyAlignment="1" applyProtection="1">
      <alignment horizontal="center" vertical="center" textRotation="180" wrapText="1"/>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82" fillId="29" borderId="94" xfId="0" applyFont="1" applyFill="1" applyBorder="1" applyAlignment="1">
      <alignment horizontal="center" vertical="center" wrapText="1"/>
    </xf>
    <xf numFmtId="0" fontId="82" fillId="29" borderId="86" xfId="0" applyFont="1" applyFill="1" applyBorder="1" applyAlignment="1">
      <alignment horizontal="center" vertical="center" wrapText="1"/>
    </xf>
    <xf numFmtId="0" fontId="82" fillId="29"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26" fillId="28" borderId="94" xfId="0" applyFont="1" applyFill="1" applyBorder="1" applyAlignment="1">
      <alignment horizontal="center" vertical="center" wrapText="1"/>
    </xf>
    <xf numFmtId="0" fontId="26" fillId="28" borderId="86" xfId="0" applyFont="1" applyFill="1" applyBorder="1" applyAlignment="1">
      <alignment horizontal="center" vertical="center" wrapText="1"/>
    </xf>
    <xf numFmtId="0" fontId="26" fillId="28"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75" fillId="2" borderId="68" xfId="0" applyFont="1" applyFill="1" applyBorder="1" applyAlignment="1">
      <alignment horizontal="center" vertical="center"/>
    </xf>
    <xf numFmtId="0" fontId="75"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66" fillId="2" borderId="68" xfId="0" applyFont="1" applyFill="1" applyBorder="1" applyAlignment="1">
      <alignment horizontal="center" vertical="center"/>
    </xf>
    <xf numFmtId="0" fontId="66"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79" fillId="0" borderId="68" xfId="15" applyFont="1" applyFill="1" applyBorder="1" applyAlignment="1">
      <alignment horizontal="center" vertical="center" wrapText="1"/>
    </xf>
    <xf numFmtId="9" fontId="79" fillId="0" borderId="69" xfId="15" applyFont="1" applyFill="1" applyBorder="1" applyAlignment="1">
      <alignment horizontal="center" vertical="center"/>
    </xf>
    <xf numFmtId="0" fontId="79" fillId="0" borderId="22" xfId="0" applyFont="1" applyBorder="1" applyAlignment="1">
      <alignment horizontal="center" vertical="center"/>
    </xf>
    <xf numFmtId="0" fontId="79" fillId="0" borderId="23" xfId="0" applyFont="1" applyBorder="1" applyAlignment="1">
      <alignment horizontal="center" vertical="center"/>
    </xf>
    <xf numFmtId="0" fontId="79" fillId="0" borderId="24" xfId="0" applyFont="1" applyBorder="1" applyAlignment="1">
      <alignment horizontal="center" vertical="center"/>
    </xf>
    <xf numFmtId="0" fontId="79" fillId="0" borderId="68" xfId="0" applyFont="1" applyBorder="1" applyAlignment="1">
      <alignment horizontal="center" vertical="center"/>
    </xf>
    <xf numFmtId="0" fontId="79" fillId="0" borderId="69" xfId="0" applyFont="1" applyBorder="1" applyAlignment="1">
      <alignment horizontal="center" vertical="center"/>
    </xf>
    <xf numFmtId="0" fontId="79" fillId="0" borderId="68"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xf numFmtId="0" fontId="24" fillId="24" borderId="93" xfId="0" applyFont="1" applyFill="1" applyBorder="1" applyAlignment="1">
      <alignment horizontal="center" vertical="center" wrapText="1"/>
    </xf>
    <xf numFmtId="0" fontId="24" fillId="24" borderId="84" xfId="0" applyFont="1" applyFill="1" applyBorder="1" applyAlignment="1">
      <alignment horizontal="center" vertical="center" wrapText="1"/>
    </xf>
    <xf numFmtId="0" fontId="24" fillId="24" borderId="87" xfId="0" applyFont="1" applyFill="1" applyBorder="1" applyAlignment="1">
      <alignment horizontal="center" vertical="center" wrapText="1"/>
    </xf>
    <xf numFmtId="166" fontId="24" fillId="24" borderId="112" xfId="0" applyNumberFormat="1" applyFont="1" applyFill="1" applyBorder="1" applyAlignment="1">
      <alignment horizontal="center" vertical="center" wrapText="1"/>
    </xf>
    <xf numFmtId="166" fontId="24" fillId="24" borderId="85" xfId="0" applyNumberFormat="1" applyFont="1" applyFill="1" applyBorder="1" applyAlignment="1">
      <alignment horizontal="center" vertical="center" wrapText="1"/>
    </xf>
    <xf numFmtId="166" fontId="24" fillId="24" borderId="92" xfId="0" applyNumberFormat="1"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79" t="s">
        <v>100</v>
      </c>
      <c r="B3" s="1180"/>
      <c r="C3" s="1180"/>
      <c r="D3" s="1181"/>
      <c r="E3" s="369"/>
      <c r="F3" s="2"/>
      <c r="Q3" s="349">
        <v>1</v>
      </c>
      <c r="R3" s="349">
        <v>3</v>
      </c>
      <c r="S3" t="b">
        <f>AND(Q3&gt;=TrimIni,Q3&lt;=TrimFin)</f>
        <v>1</v>
      </c>
    </row>
    <row r="4" spans="1:19" ht="22.5" customHeight="1" thickBot="1">
      <c r="A4" s="370" t="s">
        <v>907</v>
      </c>
      <c r="B4" s="369"/>
      <c r="C4" s="369"/>
      <c r="D4" s="369"/>
      <c r="E4" s="369"/>
      <c r="F4" s="2"/>
      <c r="Q4" s="349">
        <v>2</v>
      </c>
      <c r="R4" s="349">
        <v>3</v>
      </c>
      <c r="S4" t="b">
        <f>AND(Q4&gt;=TrimIni,Q4&lt;=TrimFin)</f>
        <v>1</v>
      </c>
    </row>
    <row r="5" spans="1:19" ht="15.75" thickBot="1">
      <c r="A5" s="371" t="s">
        <v>37</v>
      </c>
      <c r="B5" s="372">
        <v>2023</v>
      </c>
      <c r="C5" s="373" t="s">
        <v>215</v>
      </c>
      <c r="D5" s="374">
        <v>1</v>
      </c>
      <c r="E5" s="375"/>
      <c r="F5" s="3"/>
      <c r="H5" t="s">
        <v>424</v>
      </c>
      <c r="Q5" s="349">
        <v>3</v>
      </c>
      <c r="R5" s="349">
        <v>2</v>
      </c>
      <c r="S5" t="b">
        <f>AND(Q5&gt;=TrimIni,Q5&lt;=TrimFin)</f>
        <v>1</v>
      </c>
    </row>
    <row r="6" spans="1:19" ht="15">
      <c r="A6" s="376"/>
      <c r="B6" s="375"/>
      <c r="C6" s="373" t="s">
        <v>216</v>
      </c>
      <c r="D6" s="374">
        <v>4</v>
      </c>
      <c r="E6" s="375"/>
      <c r="F6" s="3"/>
      <c r="Q6" s="349">
        <v>4</v>
      </c>
      <c r="R6" s="349">
        <v>3</v>
      </c>
      <c r="S6" t="b">
        <f>AND(Q6&gt;=TrimIni,Q6&lt;=TrimFin)</f>
        <v>1</v>
      </c>
    </row>
    <row r="7" spans="1:19" ht="13.5" thickBot="1">
      <c r="A7" s="377"/>
      <c r="B7" s="378"/>
      <c r="C7" s="375"/>
      <c r="D7" s="375"/>
      <c r="E7" s="375"/>
      <c r="F7" s="3"/>
      <c r="Q7" s="349"/>
      <c r="R7" s="349"/>
    </row>
    <row r="8" spans="1:19" ht="22.5">
      <c r="A8" s="475"/>
      <c r="B8" s="379"/>
      <c r="C8" s="380"/>
      <c r="D8" s="381"/>
      <c r="E8" s="382"/>
      <c r="F8" s="3"/>
      <c r="Q8" s="349"/>
      <c r="R8" s="350">
        <f>11/SUMIF(S3:S6,TRUE,R3:R6)</f>
        <v>1</v>
      </c>
    </row>
    <row r="9" spans="1:19">
      <c r="A9" s="383" t="s">
        <v>908</v>
      </c>
      <c r="B9" s="378" t="s">
        <v>909</v>
      </c>
      <c r="C9" s="375"/>
      <c r="D9" s="375"/>
      <c r="E9" s="384"/>
      <c r="F9" s="3"/>
    </row>
    <row r="10" spans="1:19">
      <c r="A10" s="383" t="s">
        <v>910</v>
      </c>
      <c r="B10" s="375" t="s">
        <v>909</v>
      </c>
      <c r="C10" s="375"/>
      <c r="D10" s="375"/>
      <c r="E10" s="384"/>
      <c r="F10" s="3"/>
      <c r="Q10" s="349">
        <v>0</v>
      </c>
    </row>
    <row r="11" spans="1:19" ht="13.5" thickBot="1">
      <c r="A11" s="385" t="s">
        <v>911</v>
      </c>
      <c r="B11" s="386" t="s">
        <v>912</v>
      </c>
      <c r="C11" s="386"/>
      <c r="D11" s="386"/>
      <c r="E11" s="387"/>
      <c r="F11" s="3"/>
    </row>
    <row r="12" spans="1:19" ht="40.5" customHeight="1" thickBot="1">
      <c r="A12" s="377"/>
      <c r="B12" s="375"/>
      <c r="C12" s="375"/>
      <c r="D12" s="375"/>
      <c r="E12" s="375"/>
      <c r="F12" s="3"/>
      <c r="Q12" s="1108"/>
    </row>
    <row r="13" spans="1:19" ht="15">
      <c r="A13" s="388" t="s">
        <v>124</v>
      </c>
      <c r="B13" s="389" t="s">
        <v>55</v>
      </c>
      <c r="C13" s="793" t="s">
        <v>728</v>
      </c>
      <c r="D13" s="375" t="s">
        <v>55</v>
      </c>
      <c r="E13" s="375"/>
      <c r="F13" s="3"/>
    </row>
    <row r="14" spans="1:19" ht="15">
      <c r="A14" s="390" t="s">
        <v>90</v>
      </c>
      <c r="B14" s="391" t="s">
        <v>127</v>
      </c>
      <c r="C14" s="375"/>
      <c r="D14" s="375"/>
      <c r="E14" s="375"/>
      <c r="F14" s="3"/>
    </row>
    <row r="15" spans="1:19" ht="13.5" thickBot="1">
      <c r="A15" s="264"/>
      <c r="B15" s="4"/>
      <c r="C15" s="4"/>
      <c r="D15" s="4"/>
      <c r="E15" s="4"/>
      <c r="F15" s="5"/>
    </row>
    <row r="16" spans="1:19" ht="23.25">
      <c r="A16" s="68"/>
    </row>
  </sheetData>
  <sheetProtection algorithmName="SHA-512" hashValue="/Xm8YzBQpnxA3y+wliBVkzAzj4FuHD6UTboyaXCBGCSsdzTbNa63KNJ/OtvgZvjNV0MecnMpMZU4xaFzrWPbJw==" saltValue="jzvJ8M6nZMV+l7l+uDvtl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1" sqref="D11"/>
    </sheetView>
  </sheetViews>
  <sheetFormatPr baseColWidth="10" defaultColWidth="11.42578125" defaultRowHeight="12.75"/>
  <cols>
    <col min="1" max="1" width="33.5703125" style="375" customWidth="1"/>
    <col min="2" max="2" width="9.42578125" style="375" customWidth="1"/>
    <col min="3" max="3" width="13.28515625" style="375" customWidth="1"/>
    <col min="4" max="4" width="13" style="375" hidden="1" customWidth="1"/>
    <col min="5" max="5" width="13.42578125" style="375" customWidth="1"/>
    <col min="6" max="6" width="10.7109375" style="375" customWidth="1"/>
    <col min="7" max="7" width="14.7109375" style="375" customWidth="1"/>
    <col min="8" max="8" width="10.7109375" style="375" customWidth="1"/>
    <col min="9" max="9" width="14.7109375" style="375" customWidth="1"/>
    <col min="10" max="10" width="10.85546875" style="375" customWidth="1"/>
    <col min="11" max="13" width="14.85546875" style="375" hidden="1" customWidth="1"/>
    <col min="14" max="14" width="14.140625" style="375" hidden="1" customWidth="1"/>
    <col min="15" max="16384" width="11.42578125" style="375"/>
  </cols>
  <sheetData>
    <row r="1" spans="1:14" ht="108" customHeight="1"/>
    <row r="2" spans="1:14">
      <c r="A2" s="378"/>
      <c r="B2" s="392" t="str">
        <f>Criterios!A9 &amp;"  "&amp;Criterios!B9</f>
        <v>Tribunales de Justicia  ASTURIAS</v>
      </c>
      <c r="C2" s="378"/>
      <c r="D2" s="378"/>
      <c r="E2" s="378"/>
      <c r="F2" s="378"/>
    </row>
    <row r="3" spans="1:14" ht="19.5">
      <c r="A3" s="393" t="s">
        <v>115</v>
      </c>
      <c r="B3" s="394" t="str">
        <f>Criterios!A10 &amp;"  "&amp;Criterios!B10</f>
        <v>Provincias  ASTURIAS</v>
      </c>
      <c r="D3" s="378"/>
      <c r="E3" s="378"/>
      <c r="F3" s="378"/>
    </row>
    <row r="4" spans="1:14" ht="13.5" thickBot="1">
      <c r="A4" s="378"/>
      <c r="B4" s="394" t="str">
        <f>Criterios!A11 &amp;"  "&amp;Criterios!B11</f>
        <v>Resumenes por Partidos Judiciales  LENA</v>
      </c>
      <c r="C4" s="378"/>
      <c r="D4" s="378"/>
      <c r="E4" s="378"/>
      <c r="F4" s="378"/>
    </row>
    <row r="5" spans="1:14" ht="15.75" customHeight="1">
      <c r="A5" s="1189" t="str">
        <f>"Año:  " &amp;Criterios!B5 &amp; "     Trimestre   " &amp;Criterios!D5 &amp; " al " &amp;Criterios!D6</f>
        <v>Año:  2023     Trimestre   1 al 4</v>
      </c>
      <c r="B5" s="794" t="s">
        <v>116</v>
      </c>
      <c r="C5" s="1191" t="s">
        <v>128</v>
      </c>
      <c r="D5" s="1192"/>
      <c r="E5" s="1191" t="s">
        <v>92</v>
      </c>
      <c r="F5" s="1192"/>
      <c r="G5" s="1191" t="s">
        <v>9</v>
      </c>
      <c r="H5" s="1192"/>
      <c r="I5" s="1191" t="s">
        <v>129</v>
      </c>
      <c r="J5" s="1192"/>
      <c r="K5" s="1198" t="s">
        <v>749</v>
      </c>
      <c r="L5" s="1182" t="s">
        <v>795</v>
      </c>
      <c r="M5" s="1182" t="s">
        <v>861</v>
      </c>
      <c r="N5" s="1185" t="s">
        <v>748</v>
      </c>
    </row>
    <row r="6" spans="1:14" ht="21.75" customHeight="1" thickBot="1">
      <c r="A6" s="1190"/>
      <c r="B6" s="795"/>
      <c r="C6" s="1193"/>
      <c r="D6" s="1194"/>
      <c r="E6" s="1193"/>
      <c r="F6" s="1194"/>
      <c r="G6" s="1193"/>
      <c r="H6" s="1194"/>
      <c r="I6" s="1193"/>
      <c r="J6" s="1194"/>
      <c r="K6" s="1199"/>
      <c r="L6" s="1183"/>
      <c r="M6" s="1183"/>
      <c r="N6" s="1186"/>
    </row>
    <row r="7" spans="1:14" ht="38.25" customHeight="1" thickTop="1" thickBot="1">
      <c r="A7" s="395" t="s">
        <v>743</v>
      </c>
      <c r="B7" s="396" t="s">
        <v>117</v>
      </c>
      <c r="C7" s="397" t="s">
        <v>5</v>
      </c>
      <c r="D7" s="398" t="s">
        <v>6</v>
      </c>
      <c r="E7" s="397" t="s">
        <v>5</v>
      </c>
      <c r="F7" s="398" t="s">
        <v>6</v>
      </c>
      <c r="G7" s="397" t="s">
        <v>5</v>
      </c>
      <c r="H7" s="398" t="s">
        <v>6</v>
      </c>
      <c r="I7" s="397" t="s">
        <v>5</v>
      </c>
      <c r="J7" s="398" t="s">
        <v>6</v>
      </c>
      <c r="K7" s="1200"/>
      <c r="L7" s="1184"/>
      <c r="M7" s="1184"/>
      <c r="N7" s="1187"/>
    </row>
    <row r="8" spans="1:14">
      <c r="A8" s="399" t="str">
        <f>Datos!A8</f>
        <v>Jurisdicción Civil ( 1 ):</v>
      </c>
      <c r="B8" s="400"/>
      <c r="C8" s="401"/>
      <c r="D8" s="402"/>
      <c r="E8" s="401"/>
      <c r="F8" s="402"/>
      <c r="G8" s="401"/>
      <c r="H8" s="402"/>
      <c r="I8" s="401"/>
      <c r="J8" s="402"/>
      <c r="K8" s="404"/>
      <c r="L8" s="1106"/>
      <c r="M8" s="404"/>
      <c r="N8" s="404"/>
    </row>
    <row r="9" spans="1:14">
      <c r="A9" s="405" t="str">
        <f>Datos!A9</f>
        <v xml:space="preserve">Jdos. 1ª Instancia   </v>
      </c>
      <c r="B9" s="406">
        <f>Datos!AO9</f>
        <v>0</v>
      </c>
      <c r="C9" s="406" t="str">
        <f>IF(ISNUMBER(IF(J_V="SI",Datos!I9,Datos!I9+Datos!Y9)),IF(J_V="SI",Datos!I9,Datos!I9+Datos!Y9)," - ")</f>
        <v xml:space="preserve"> - </v>
      </c>
      <c r="D9" s="407" t="str">
        <f>IF(ISNUMBER(C9/Datos!BH9),C9/Datos!BH9," - ")</f>
        <v xml:space="preserve"> - </v>
      </c>
      <c r="E9" s="406" t="str">
        <f>IF(ISNUMBER(IF(J_V="SI",Datos!J9,Datos!J9+Datos!Z9)),IF(J_V="SI",Datos!J9,Datos!J9+Datos!Z9)," - ")</f>
        <v xml:space="preserve"> - </v>
      </c>
      <c r="F9" s="407" t="str">
        <f>IF(ISNUMBER(E9/B9),E9/B9," - ")</f>
        <v xml:space="preserve"> - </v>
      </c>
      <c r="G9" s="406" t="str">
        <f>IF(ISNUMBER(IF(J_V="SI",Datos!K9,Datos!K9+Datos!AA9)),IF(J_V="SI",Datos!K9,Datos!K9+Datos!AA9)," - ")</f>
        <v xml:space="preserve"> - </v>
      </c>
      <c r="H9" s="407" t="str">
        <f>IF(ISNUMBER(G9/B9),G9/B9," - ")</f>
        <v xml:space="preserve"> - </v>
      </c>
      <c r="I9" s="406" t="str">
        <f>IF(ISNUMBER(IF(J_V="SI",Datos!L9,Datos!L9+Datos!AB9)),IF(J_V="SI",Datos!L9,Datos!L9+Datos!AB9)," - ")</f>
        <v xml:space="preserve"> - </v>
      </c>
      <c r="J9" s="407" t="str">
        <f>IF(ISNUMBER(I9/B9),I9/B9," - ")</f>
        <v xml:space="preserve"> - </v>
      </c>
      <c r="K9" s="408" t="str">
        <f>IF(ISNUMBER(Datos!EO9),Datos!EO9," - ")</f>
        <v xml:space="preserve"> - </v>
      </c>
      <c r="L9" s="1106" t="e">
        <f>K9*factor_trimestre/Datos!ER9</f>
        <v>#VALUE!</v>
      </c>
      <c r="M9" s="408" t="str">
        <f>IF(ISNUMBER(Datos!EP9),Datos!EP9," - ")</f>
        <v xml:space="preserve"> - </v>
      </c>
      <c r="N9" s="408" t="str">
        <f>IF(ISNUMBER(Datos!EQ9),Datos!EQ9," - ")</f>
        <v xml:space="preserve"> - </v>
      </c>
    </row>
    <row r="10" spans="1:14">
      <c r="A10" s="405" t="str">
        <f>Datos!A10</f>
        <v>Jdos. Violencia contra la mujer</v>
      </c>
      <c r="B10" s="406">
        <f>Datos!AO10</f>
        <v>1</v>
      </c>
      <c r="C10" s="406">
        <f>IF(ISNUMBER(Datos!I10),Datos!I10," - ")</f>
        <v>9</v>
      </c>
      <c r="D10" s="407">
        <f>IF(ISNUMBER(C10/Datos!BH10),C10/Datos!BH10," - ")</f>
        <v>9</v>
      </c>
      <c r="E10" s="406">
        <f>IF(ISNUMBER(Datos!J10),Datos!J10," - ")</f>
        <v>7</v>
      </c>
      <c r="F10" s="407">
        <f>IF(ISNUMBER(E10/B10),E10/B10," - ")</f>
        <v>7</v>
      </c>
      <c r="G10" s="406">
        <f>IF(ISNUMBER(Datos!K10),Datos!K10," - ")</f>
        <v>8</v>
      </c>
      <c r="H10" s="407">
        <f>IF(ISNUMBER(G10/B10),G10/B10," - ")</f>
        <v>8</v>
      </c>
      <c r="I10" s="406">
        <f>IF(ISNUMBER(Datos!L10),Datos!L10," - ")</f>
        <v>8</v>
      </c>
      <c r="J10" s="407">
        <f>IF(ISNUMBER(I10/B10),I10/B10," - ")</f>
        <v>8</v>
      </c>
      <c r="K10" s="408" t="str">
        <f>IF(ISNUMBER(Datos!EO10),Datos!EO10," - ")</f>
        <v xml:space="preserve"> - </v>
      </c>
      <c r="L10" s="1106" t="e">
        <f>K10*factor_trimestre/Datos!ER10</f>
        <v>#VALUE!</v>
      </c>
      <c r="M10" s="408" t="str">
        <f>IF(ISNUMBER(Datos!EP10),Datos!EP10," - ")</f>
        <v xml:space="preserve"> - </v>
      </c>
      <c r="N10" s="408" t="str">
        <f>IF(ISNUMBER(Datos!EQ10),Datos!EQ10," - ")</f>
        <v xml:space="preserve"> - </v>
      </c>
    </row>
    <row r="11" spans="1:14">
      <c r="A11" s="405" t="str">
        <f>Datos!A11</f>
        <v xml:space="preserve">Jdos. Familia                                   </v>
      </c>
      <c r="B11" s="406">
        <f>Datos!AO11</f>
        <v>0</v>
      </c>
      <c r="C11" s="406" t="str">
        <f>IF(ISNUMBER(IF(J_V="SI",Datos!I11,Datos!I11+Datos!Y11)),IF(J_V="SI",Datos!I11,Datos!I11+Datos!Y11)," - ")</f>
        <v xml:space="preserve"> - </v>
      </c>
      <c r="D11" s="407" t="str">
        <f>IF(ISNUMBER(C11/Datos!BH11),C11/Datos!BH11," - ")</f>
        <v xml:space="preserve"> - </v>
      </c>
      <c r="E11" s="406" t="str">
        <f>IF(ISNUMBER(IF(J_V="SI",Datos!J11,Datos!J11+Datos!Z11)),IF(J_V="SI",Datos!J11,Datos!J11+Datos!Z11)," - ")</f>
        <v xml:space="preserve"> - </v>
      </c>
      <c r="F11" s="407" t="str">
        <f>IF(ISNUMBER(E11/B11),E11/B11," - ")</f>
        <v xml:space="preserve"> - </v>
      </c>
      <c r="G11" s="406" t="str">
        <f>IF(ISNUMBER(IF(J_V="SI",Datos!K11,Datos!K11+Datos!AA11)),IF(J_V="SI",Datos!K11,Datos!K11+Datos!AA11)," - ")</f>
        <v xml:space="preserve"> - </v>
      </c>
      <c r="H11" s="407" t="str">
        <f>IF(ISNUMBER(G11/B11),G11/B11," - ")</f>
        <v xml:space="preserve"> - </v>
      </c>
      <c r="I11" s="406" t="str">
        <f>IF(ISNUMBER(IF(J_V="SI",Datos!L11,Datos!L11+Datos!AB11)),IF(J_V="SI",Datos!L11,Datos!L11+Datos!AB11)," - ")</f>
        <v xml:space="preserve"> - </v>
      </c>
      <c r="J11" s="407" t="str">
        <f>IF(ISNUMBER(I11/B11),I11/B11," - ")</f>
        <v xml:space="preserve"> - </v>
      </c>
      <c r="K11" s="408" t="str">
        <f>IF(ISNUMBER(Datos!EO11),Datos!EO11," - ")</f>
        <v xml:space="preserve"> - </v>
      </c>
      <c r="L11" s="1106" t="e">
        <f>K11*factor_trimestre/Datos!ER11</f>
        <v>#VALUE!</v>
      </c>
      <c r="M11" s="408" t="str">
        <f>IF(ISNUMBER(Datos!EP11),Datos!EP11," - ")</f>
        <v xml:space="preserve"> - </v>
      </c>
      <c r="N11" s="408" t="str">
        <f>IF(ISNUMBER(Datos!EQ11),Datos!EQ11," - ")</f>
        <v xml:space="preserve"> - </v>
      </c>
    </row>
    <row r="12" spans="1:14" ht="13.5" thickBot="1">
      <c r="A12" s="405" t="str">
        <f>Datos!A12</f>
        <v xml:space="preserve">Jdos. 1ª Instª. e Instr.                        </v>
      </c>
      <c r="B12" s="406">
        <f>Datos!AO12</f>
        <v>2</v>
      </c>
      <c r="C12" s="406">
        <f>IF(ISNUMBER(IF(J_V="SI",Datos!I12,Datos!I12+Datos!Y12)),IF(J_V="SI",Datos!I12,Datos!I12+Datos!Y12)," - ")</f>
        <v>517</v>
      </c>
      <c r="D12" s="407">
        <f>IF(ISNUMBER(C12/Datos!BH12),C12/Datos!BH12," - ")</f>
        <v>258.5</v>
      </c>
      <c r="E12" s="406">
        <f>IF(ISNUMBER(IF(J_V="SI",Datos!J12,Datos!J12+Datos!Z12)),IF(J_V="SI",Datos!J12,Datos!J12+Datos!Z12)," - ")</f>
        <v>1088</v>
      </c>
      <c r="F12" s="407">
        <f>IF(ISNUMBER(E12/B12),E12/B12," - ")</f>
        <v>544</v>
      </c>
      <c r="G12" s="406">
        <f>IF(ISNUMBER(IF(J_V="SI",Datos!K12,Datos!K12+Datos!AA12)),IF(J_V="SI",Datos!K12,Datos!K12+Datos!AA12)," - ")</f>
        <v>891</v>
      </c>
      <c r="H12" s="407">
        <f>IF(ISNUMBER(G12/B12),G12/B12," - ")</f>
        <v>445.5</v>
      </c>
      <c r="I12" s="406">
        <f>IF(ISNUMBER(IF(J_V="SI",Datos!L12,Datos!L12+Datos!AB12)),IF(J_V="SI",Datos!L12,Datos!L12+Datos!AB12)," - ")</f>
        <v>714</v>
      </c>
      <c r="J12" s="407">
        <f>IF(ISNUMBER(I12/B12),I12/B12," - ")</f>
        <v>357</v>
      </c>
      <c r="K12" s="408" t="str">
        <f>IF(ISNUMBER(Datos!EO12),Datos!EO12," - ")</f>
        <v xml:space="preserve"> - </v>
      </c>
      <c r="L12" s="1106" t="e">
        <f>K12*factor_trimestre/Datos!ER12</f>
        <v>#VALUE!</v>
      </c>
      <c r="M12" s="408" t="str">
        <f>IF(ISNUMBER(Datos!EP12),Datos!EP12," - ")</f>
        <v xml:space="preserve"> - </v>
      </c>
      <c r="N12" s="408" t="str">
        <f>IF(ISNUMBER(Datos!EQ12),Datos!EQ12," - ")</f>
        <v xml:space="preserve"> - </v>
      </c>
    </row>
    <row r="13" spans="1:14" ht="14.25" thickTop="1" thickBot="1">
      <c r="A13" s="851" t="str">
        <f>Datos!A13</f>
        <v>TOTAL</v>
      </c>
      <c r="B13" s="852">
        <f>Datos!AP13</f>
        <v>2</v>
      </c>
      <c r="C13" s="852">
        <f>SUBTOTAL(9,C8:C12)</f>
        <v>526</v>
      </c>
      <c r="D13" s="853" t="str">
        <f>IF(ISNUMBER(C13/Datos!BI13),C13/Datos!BI13," - ")</f>
        <v xml:space="preserve"> - </v>
      </c>
      <c r="E13" s="852">
        <f>SUBTOTAL(9,E8:E12)</f>
        <v>1095</v>
      </c>
      <c r="F13" s="853">
        <f>IF(ISNUMBER(E13/B13),E13/B13," - ")</f>
        <v>547.5</v>
      </c>
      <c r="G13" s="852">
        <f>SUBTOTAL(9,G8:G12)</f>
        <v>899</v>
      </c>
      <c r="H13" s="853">
        <f>IF(ISNUMBER(G13/B13),G13/B13," - ")</f>
        <v>449.5</v>
      </c>
      <c r="I13" s="852">
        <f>SUBTOTAL(9,I8:I12)</f>
        <v>722</v>
      </c>
      <c r="J13" s="853">
        <f>IF(ISNUMBER(I13/B13),I13/B13," - ")</f>
        <v>361</v>
      </c>
      <c r="K13" s="851">
        <f t="shared" ref="K13" si="0">SUBTOTAL(9,K8:K12)</f>
        <v>0</v>
      </c>
      <c r="L13" s="1105"/>
      <c r="M13" s="851">
        <f>SUBTOTAL(9,M8:M12)</f>
        <v>0</v>
      </c>
      <c r="N13" s="851">
        <f>SUBTOTAL(9,N8:N12)</f>
        <v>0</v>
      </c>
    </row>
    <row r="14" spans="1:14" ht="13.5" thickTop="1">
      <c r="A14" s="399" t="str">
        <f>Datos!A14</f>
        <v xml:space="preserve">Jurisdicción Penal ( 2 ):                      </v>
      </c>
      <c r="B14" s="409"/>
      <c r="C14" s="409"/>
      <c r="D14" s="410"/>
      <c r="E14" s="409"/>
      <c r="F14" s="410"/>
      <c r="G14" s="409"/>
      <c r="H14" s="410"/>
      <c r="I14" s="409"/>
      <c r="J14" s="410"/>
      <c r="K14" s="409"/>
      <c r="L14" s="1106"/>
      <c r="M14" s="411"/>
      <c r="N14" s="412"/>
    </row>
    <row r="15" spans="1:14">
      <c r="A15" s="405" t="str">
        <f>Datos!A15</f>
        <v xml:space="preserve">Jdos. Instrucción                               </v>
      </c>
      <c r="B15" s="406">
        <f>Datos!AO15</f>
        <v>0</v>
      </c>
      <c r="C15" s="406" t="str">
        <f>IF(ISNUMBER(IF(D_I="SI",Datos!I15,Datos!I15+Datos!AC15)),IF(D_I="SI",Datos!I15,Datos!I15+Datos!AC15)," - ")</f>
        <v xml:space="preserve"> - </v>
      </c>
      <c r="D15" s="407" t="str">
        <f>IF(ISNUMBER(C15/Datos!BH15),C15/Datos!BH15," - ")</f>
        <v xml:space="preserve"> - </v>
      </c>
      <c r="E15" s="406" t="str">
        <f>IF(ISNUMBER(IF(D_I="SI",Datos!J15,Datos!J15+Datos!AD15)),IF(D_I="SI",Datos!J15,Datos!J15+Datos!AD15)," - ")</f>
        <v xml:space="preserve"> - </v>
      </c>
      <c r="F15" s="407" t="str">
        <f>IF(ISNUMBER(E15/B15),E15/B15," - ")</f>
        <v xml:space="preserve"> - </v>
      </c>
      <c r="G15" s="406" t="str">
        <f>IF(ISNUMBER(IF(D_I="SI",Datos!K15,Datos!K15+Datos!AE15)),IF(D_I="SI",Datos!K15,Datos!K15+Datos!AE15)," - ")</f>
        <v xml:space="preserve"> - </v>
      </c>
      <c r="H15" s="407" t="str">
        <f>IF(ISNUMBER(G15/B15),G15/B15," - ")</f>
        <v xml:space="preserve"> - </v>
      </c>
      <c r="I15" s="406" t="str">
        <f>IF(ISNUMBER(IF(D_I="SI",Datos!L15,Datos!L15+Datos!AF15)),IF(D_I="SI",Datos!L15,Datos!L15+Datos!AF15)," - ")</f>
        <v xml:space="preserve"> - </v>
      </c>
      <c r="J15" s="407" t="str">
        <f>IF(ISNUMBER(I15/B15),I15/B15," - ")</f>
        <v xml:space="preserve"> - </v>
      </c>
      <c r="K15" s="1103" t="str">
        <f>IF(ISNUMBER(Datos!EO15),Datos!EO15," - ")</f>
        <v xml:space="preserve"> - </v>
      </c>
      <c r="L15" s="1106" t="e">
        <f>K15*factor_trimestre/Datos!ER15</f>
        <v>#VALUE!</v>
      </c>
      <c r="M15" s="1104" t="str">
        <f>IF(ISNUMBER(Datos!EP15),Datos!EP15," - ")</f>
        <v xml:space="preserve"> - </v>
      </c>
      <c r="N15" s="408" t="str">
        <f>IF(ISNUMBER(Datos!EQ15),Datos!EQ15," - ")</f>
        <v xml:space="preserve"> - </v>
      </c>
    </row>
    <row r="16" spans="1:14">
      <c r="A16" s="405" t="str">
        <f>Datos!A16</f>
        <v xml:space="preserve">Jdos. 1ª Instª. e Instr.                        </v>
      </c>
      <c r="B16" s="406">
        <f>Datos!AO16</f>
        <v>2</v>
      </c>
      <c r="C16" s="406">
        <f>IF(ISNUMBER(IF(D_I="SI",Datos!I16,Datos!I16+Datos!AC16)),IF(D_I="SI",Datos!I16,Datos!I16+Datos!AC16)," - ")</f>
        <v>201</v>
      </c>
      <c r="D16" s="407">
        <f>IF(ISNUMBER(C16/Datos!BH16),C16/Datos!BH16," - ")</f>
        <v>100.5</v>
      </c>
      <c r="E16" s="406">
        <f>IF(ISNUMBER(IF(D_I="SI",Datos!J16,Datos!J16+Datos!AD16)),IF(D_I="SI",Datos!J16,Datos!J16+Datos!AD16)," - ")</f>
        <v>939</v>
      </c>
      <c r="F16" s="407">
        <f>IF(ISNUMBER(E16/B16),E16/B16," - ")</f>
        <v>469.5</v>
      </c>
      <c r="G16" s="406">
        <f>IF(ISNUMBER(IF(D_I="SI",Datos!K16,Datos!K16+Datos!AE16)),IF(D_I="SI",Datos!K16,Datos!K16+Datos!AE16)," - ")</f>
        <v>882</v>
      </c>
      <c r="H16" s="407">
        <f>IF(ISNUMBER(G16/B16),G16/B16," - ")</f>
        <v>441</v>
      </c>
      <c r="I16" s="406">
        <f>IF(ISNUMBER(IF(D_I="SI",Datos!L16,Datos!L16+Datos!AF16)),IF(D_I="SI",Datos!L16,Datos!L16+Datos!AF16)," - ")</f>
        <v>263</v>
      </c>
      <c r="J16" s="407">
        <f>IF(ISNUMBER(I16/B16),I16/B16," - ")</f>
        <v>131.5</v>
      </c>
      <c r="K16" s="1103" t="str">
        <f>IF(ISNUMBER(Datos!EO16),Datos!EO16," - ")</f>
        <v xml:space="preserve"> - </v>
      </c>
      <c r="L16" s="1106" t="e">
        <f>K16*factor_trimestre/Datos!ER16</f>
        <v>#VALUE!</v>
      </c>
      <c r="M16" s="1104" t="str">
        <f>IF(ISNUMBER(Datos!EP16),Datos!EP16," - ")</f>
        <v xml:space="preserve"> - </v>
      </c>
      <c r="N16" s="408" t="str">
        <f>IF(ISNUMBER(Datos!EQ16),Datos!EQ16," - ")</f>
        <v xml:space="preserve"> - </v>
      </c>
    </row>
    <row r="17" spans="1:14" ht="13.5" thickBot="1">
      <c r="A17" s="405" t="str">
        <f>Datos!A17</f>
        <v>Jdos. Violencia contra la mujer</v>
      </c>
      <c r="B17" s="406">
        <f>Datos!AO17</f>
        <v>1</v>
      </c>
      <c r="C17" s="406">
        <f>IF(ISNUMBER(IF(D_I="SI",Datos!I17,Datos!I17+Datos!AC17)),IF(D_I="SI",Datos!I17,Datos!I17+Datos!AC17)," - ")</f>
        <v>10</v>
      </c>
      <c r="D17" s="407">
        <f>IF(ISNUMBER(C17/Datos!BH17),C17/Datos!BH17," - ")</f>
        <v>10</v>
      </c>
      <c r="E17" s="406">
        <f>IF(ISNUMBER(IF(D_I="SI",Datos!J17,Datos!J17+Datos!AD17)),IF(D_I="SI",Datos!J17,Datos!J17+Datos!AD17)," - ")</f>
        <v>108</v>
      </c>
      <c r="F17" s="407">
        <f>IF(ISNUMBER(E17/B17),E17/B17," - ")</f>
        <v>108</v>
      </c>
      <c r="G17" s="406">
        <f>IF(ISNUMBER(IF(D_I="SI",Datos!K17,Datos!K17+Datos!AE17)),IF(D_I="SI",Datos!K17,Datos!K17+Datos!AE17)," - ")</f>
        <v>104</v>
      </c>
      <c r="H17" s="407">
        <f>IF(ISNUMBER(G17/B17),G17/B17," - ")</f>
        <v>104</v>
      </c>
      <c r="I17" s="406">
        <f>IF(ISNUMBER(IF(D_I="SI",Datos!L17,Datos!L17+Datos!AF17)),IF(D_I="SI",Datos!L17,Datos!L17+Datos!AF17)," - ")</f>
        <v>14</v>
      </c>
      <c r="J17" s="407">
        <f>IF(ISNUMBER(I17/B17),I17/B17," - ")</f>
        <v>14</v>
      </c>
      <c r="K17" s="1103" t="str">
        <f>IF(ISNUMBER(Datos!EO17),Datos!EO17," - ")</f>
        <v xml:space="preserve"> - </v>
      </c>
      <c r="L17" s="1106" t="e">
        <f>K17*factor_trimestre/Datos!ER17</f>
        <v>#VALUE!</v>
      </c>
      <c r="M17" s="1104" t="str">
        <f>IF(ISNUMBER(Datos!EP17),Datos!EP17," - ")</f>
        <v xml:space="preserve"> - </v>
      </c>
      <c r="N17" s="408" t="str">
        <f>IF(ISNUMBER(Datos!EQ17),Datos!EQ17," - ")</f>
        <v xml:space="preserve"> - </v>
      </c>
    </row>
    <row r="18" spans="1:14" ht="14.25" thickTop="1" thickBot="1">
      <c r="A18" s="851" t="str">
        <f>Datos!A18</f>
        <v>TOTAL</v>
      </c>
      <c r="B18" s="852">
        <f>Datos!AP18</f>
        <v>2</v>
      </c>
      <c r="C18" s="852">
        <f>SUBTOTAL(9,C14:C17)</f>
        <v>211</v>
      </c>
      <c r="D18" s="853" t="str">
        <f>IF(ISNUMBER(C18/Datos!BI18),C18/Datos!BI18," - ")</f>
        <v xml:space="preserve"> - </v>
      </c>
      <c r="E18" s="852">
        <f>SUBTOTAL(9,E14:E17)</f>
        <v>1047</v>
      </c>
      <c r="F18" s="853">
        <f>IF(ISNUMBER(E18/B18),E18/B18," - ")</f>
        <v>523.5</v>
      </c>
      <c r="G18" s="852">
        <f>SUBTOTAL(9,G14:G17)</f>
        <v>986</v>
      </c>
      <c r="H18" s="853">
        <f>IF(ISNUMBER(G18/B18),G18/B18," - ")</f>
        <v>493</v>
      </c>
      <c r="I18" s="852">
        <f>SUBTOTAL(9,I14:I17)</f>
        <v>277</v>
      </c>
      <c r="J18" s="853">
        <f>IF(ISNUMBER(I18/B18),I18/B18," - ")</f>
        <v>138.5</v>
      </c>
      <c r="K18" s="851">
        <f t="shared" ref="K18" si="1">SUBTOTAL(9,K14:K17)</f>
        <v>0</v>
      </c>
      <c r="L18" s="851"/>
      <c r="M18" s="851">
        <f>SUBTOTAL(9,M14:M17)</f>
        <v>0</v>
      </c>
      <c r="N18" s="851">
        <f>SUBTOTAL(9,N14:N17)</f>
        <v>0</v>
      </c>
    </row>
    <row r="19" spans="1:14" ht="16.5" customHeight="1" thickTop="1" thickBot="1">
      <c r="A19" s="796" t="str">
        <f>Datos!A19</f>
        <v>TOTAL JURISDICCIONES</v>
      </c>
      <c r="B19" s="797">
        <f>Datos!AP19</f>
        <v>2</v>
      </c>
      <c r="C19" s="797">
        <f>SUBTOTAL(9,C9:C18)</f>
        <v>737</v>
      </c>
      <c r="D19" s="798" t="str">
        <f>IF(ISNUMBER(C19/Datos!BI19),C19/Datos!BI19," - ")</f>
        <v xml:space="preserve"> - </v>
      </c>
      <c r="E19" s="797">
        <f>SUBTOTAL(9,E9:E18)</f>
        <v>2142</v>
      </c>
      <c r="F19" s="798">
        <f>IF(ISNUMBER(E19/B19),E19/B19," - ")</f>
        <v>1071</v>
      </c>
      <c r="G19" s="797">
        <f>SUBTOTAL(9,G9:G18)</f>
        <v>1885</v>
      </c>
      <c r="H19" s="798">
        <f>IF(ISNUMBER(G19/B19),G19/B19," - ")</f>
        <v>942.5</v>
      </c>
      <c r="I19" s="797">
        <f>SUBTOTAL(9,I9:I18)</f>
        <v>999</v>
      </c>
      <c r="J19" s="798">
        <f>IF(ISNUMBER(I19/B19),I19/B19," - ")</f>
        <v>499.5</v>
      </c>
      <c r="K19" s="799">
        <f t="shared" ref="K19" si="2">SUBTOTAL(9,K9:K18)</f>
        <v>0</v>
      </c>
      <c r="L19" s="799"/>
      <c r="M19" s="799">
        <f>SUBTOTAL(9,M9:M18)</f>
        <v>0</v>
      </c>
      <c r="N19" s="799">
        <f>SUBTOTAL(9,N9:N18)</f>
        <v>0</v>
      </c>
    </row>
    <row r="20" spans="1:14">
      <c r="A20" s="414" t="str">
        <f>IF(J_V="NO","(1) Incluida Jurisdicción Voluntaria","(1) Excluída Jurisdicción Voluntaria")</f>
        <v>(1) Incluida Jurisdicción Voluntaria</v>
      </c>
      <c r="B20" s="415"/>
    </row>
    <row r="21" spans="1:14">
      <c r="A21" s="414" t="str">
        <f>IF(D_I="NO","(2) Incluídas Diligencias Indeterminadas","(2) Excluídas Diligencias Indeterminadas")</f>
        <v>(2) Excluídas Diligencias Indeterminadas</v>
      </c>
      <c r="B21" s="414"/>
    </row>
    <row r="22" spans="1:14">
      <c r="A22" s="1188"/>
      <c r="B22" s="1188"/>
    </row>
    <row r="23" spans="1:14">
      <c r="A23" s="394" t="str">
        <f>Criterios!A4</f>
        <v>Fecha Informe: 03 may. 2024</v>
      </c>
    </row>
    <row r="27" spans="1:14">
      <c r="A27" s="417"/>
    </row>
  </sheetData>
  <sheetProtection algorithmName="SHA-512" hashValue="nXIy3bJ/LE8otVdBMaE5EOurUo1KxNXBbld0Gpab8VeawUNzM07bsrEXKpskoSAGAO5QEqRaL08oTjh/Oo/yMg==" saltValue="deQRZpSDy8shWiCe7eJ1Y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election activeCell="G9" sqref="G9"/>
    </sheetView>
  </sheetViews>
  <sheetFormatPr baseColWidth="10" defaultColWidth="11.42578125" defaultRowHeight="12.75"/>
  <cols>
    <col min="1" max="1" width="33.5703125" style="375" customWidth="1"/>
    <col min="2" max="2" width="11.28515625" style="375" customWidth="1"/>
    <col min="3" max="3" width="11" style="375" customWidth="1"/>
    <col min="4" max="4" width="9.42578125" style="375" hidden="1" customWidth="1"/>
    <col min="5" max="5" width="9.7109375" style="375" hidden="1" customWidth="1"/>
    <col min="6" max="6" width="13" style="375" hidden="1" customWidth="1"/>
    <col min="7" max="7" width="14.85546875" style="375" customWidth="1"/>
    <col min="8" max="8" width="15.140625" style="375" customWidth="1"/>
    <col min="9" max="9" width="12.7109375" style="375" customWidth="1"/>
    <col min="10" max="10" width="13" style="375" bestFit="1" customWidth="1"/>
    <col min="11" max="11" width="10.5703125" style="375" customWidth="1"/>
    <col min="12" max="12" width="13" style="375" customWidth="1"/>
    <col min="13" max="16" width="11.42578125" style="378"/>
    <col min="17" max="16384" width="11.42578125" style="375"/>
  </cols>
  <sheetData>
    <row r="1" spans="1:15" ht="108" customHeight="1"/>
    <row r="2" spans="1:15">
      <c r="A2" s="378"/>
      <c r="B2" s="392" t="str">
        <f>Criterios!A9 &amp;"  "&amp;Criterios!B9</f>
        <v>Tribunales de Justicia  ASTURIAS</v>
      </c>
      <c r="C2" s="378"/>
      <c r="E2" s="378"/>
      <c r="F2" s="378"/>
      <c r="G2" s="378"/>
      <c r="H2" s="378"/>
    </row>
    <row r="3" spans="1:15" ht="39">
      <c r="A3" s="418" t="s">
        <v>218</v>
      </c>
      <c r="B3" s="394" t="str">
        <f>Criterios!A10 &amp;"  "&amp;Criterios!B10</f>
        <v>Provincias  ASTURIAS</v>
      </c>
      <c r="C3" s="418"/>
      <c r="F3" s="378"/>
      <c r="G3" s="378"/>
      <c r="H3" s="378"/>
    </row>
    <row r="4" spans="1:15" ht="13.5" thickBot="1">
      <c r="A4" s="378"/>
      <c r="B4" s="394" t="str">
        <f>Criterios!A11 &amp;"  "&amp;Criterios!B11</f>
        <v>Resumenes por Partidos Judiciales  LENA</v>
      </c>
      <c r="C4" s="378"/>
      <c r="E4" s="378"/>
      <c r="F4" s="378"/>
      <c r="G4" s="378"/>
      <c r="H4" s="378"/>
    </row>
    <row r="5" spans="1:15" ht="15.75" customHeight="1">
      <c r="A5" s="1201" t="str">
        <f>"Año:  " &amp;Criterios!B5</f>
        <v>Año:  2023</v>
      </c>
      <c r="B5" s="1191" t="s">
        <v>205</v>
      </c>
      <c r="C5" s="1204"/>
      <c r="D5" s="1191" t="s">
        <v>222</v>
      </c>
      <c r="E5" s="1209"/>
      <c r="F5" s="1204"/>
      <c r="G5" s="1191" t="s">
        <v>207</v>
      </c>
      <c r="H5" s="1192"/>
      <c r="I5" s="1191" t="s">
        <v>208</v>
      </c>
      <c r="J5" s="1192"/>
      <c r="K5" s="1191" t="s">
        <v>209</v>
      </c>
      <c r="L5" s="1203"/>
      <c r="M5" s="1204"/>
    </row>
    <row r="6" spans="1:15" ht="21.75" customHeight="1" thickBot="1">
      <c r="A6" s="1202"/>
      <c r="B6" s="1207"/>
      <c r="C6" s="1208"/>
      <c r="D6" s="1210"/>
      <c r="E6" s="1211"/>
      <c r="F6" s="1212"/>
      <c r="G6" s="1193"/>
      <c r="H6" s="1194"/>
      <c r="I6" s="1193"/>
      <c r="J6" s="1194"/>
      <c r="K6" s="1193"/>
      <c r="L6" s="1205"/>
      <c r="M6" s="1206"/>
    </row>
    <row r="7" spans="1:15" ht="38.25" customHeight="1" thickTop="1" thickBot="1">
      <c r="A7" s="395" t="str">
        <f>Datos!A7</f>
        <v>COMPETENCIAS</v>
      </c>
      <c r="B7" s="419" t="s">
        <v>107</v>
      </c>
      <c r="C7" s="419" t="s">
        <v>206</v>
      </c>
      <c r="D7" s="419" t="s">
        <v>107</v>
      </c>
      <c r="E7" s="419" t="s">
        <v>206</v>
      </c>
      <c r="F7" s="398" t="s">
        <v>6</v>
      </c>
      <c r="G7" s="419" t="s">
        <v>107</v>
      </c>
      <c r="H7" s="419" t="s">
        <v>210</v>
      </c>
      <c r="I7" s="419" t="s">
        <v>107</v>
      </c>
      <c r="J7" s="419" t="s">
        <v>210</v>
      </c>
      <c r="K7" s="419" t="s">
        <v>107</v>
      </c>
      <c r="L7" s="420" t="s">
        <v>210</v>
      </c>
      <c r="M7" s="420" t="s">
        <v>219</v>
      </c>
    </row>
    <row r="8" spans="1:15">
      <c r="A8" s="399" t="str">
        <f>Datos!A8</f>
        <v>Jurisdicción Civil ( 1 ):</v>
      </c>
      <c r="B8" s="421"/>
      <c r="C8" s="421"/>
      <c r="D8" s="400"/>
      <c r="E8" s="401"/>
      <c r="F8" s="402"/>
      <c r="G8" s="401"/>
      <c r="H8" s="402"/>
      <c r="I8" s="401"/>
      <c r="J8" s="402"/>
      <c r="K8" s="401"/>
      <c r="L8" s="402"/>
      <c r="M8" s="422"/>
    </row>
    <row r="9" spans="1:15">
      <c r="A9" s="405" t="str">
        <f>Datos!A9</f>
        <v xml:space="preserve">Jdos. 1ª Instancia   </v>
      </c>
      <c r="B9" s="406">
        <f>Datos!BL9</f>
        <v>0</v>
      </c>
      <c r="C9" s="406">
        <f>Datos!AR9</f>
        <v>0</v>
      </c>
      <c r="D9" s="406">
        <f>Datos!BK9</f>
        <v>0</v>
      </c>
      <c r="E9" s="406">
        <f>Datos!AQ9</f>
        <v>0</v>
      </c>
      <c r="F9" s="407" t="str">
        <f>IF(ISNUMBER(E9/Datos!BH9),E9/Datos!BH9," - ")</f>
        <v xml:space="preserve"> - </v>
      </c>
      <c r="G9" s="406" t="str">
        <f>IF(ISNUMBER(Datos!BJ9),Datos!BJ9," - ")</f>
        <v xml:space="preserve"> - </v>
      </c>
      <c r="H9" s="406" t="str">
        <f>IF(ISNUMBER(Datos!AS9),Datos!AS9," - ")</f>
        <v xml:space="preserve"> - </v>
      </c>
      <c r="I9" s="407" t="str">
        <f>IF(ISNUMBER(G9/D9),G9/D9," - ")</f>
        <v xml:space="preserve"> - </v>
      </c>
      <c r="J9" s="407" t="str">
        <f>IF(ISNUMBER(H9/E9),H9/E9," - ")</f>
        <v xml:space="preserve"> - </v>
      </c>
      <c r="K9" s="423" t="str">
        <f>IF(AND(ISNUMBER(I9/Datos!ER9),(G9&lt;&gt;0)),((I9-Datos!ER9)/Datos!ER9)," - ")</f>
        <v xml:space="preserve"> - </v>
      </c>
      <c r="L9" s="423" t="str">
        <f>IF(AND(ISNUMBER(J9/Datos!ER9),(H9&lt;&gt;0)),((J9-Datos!ER9)/Datos!ER9)," - ")</f>
        <v xml:space="preserve"> - </v>
      </c>
      <c r="M9" s="424">
        <f>IF(EXACT(Datos!ER9,""),"-",Datos!ER9)</f>
        <v>1200</v>
      </c>
      <c r="O9" s="425"/>
    </row>
    <row r="10" spans="1:15">
      <c r="A10" s="405" t="str">
        <f>Datos!A10</f>
        <v>Jdos. Violencia contra la mujer</v>
      </c>
      <c r="B10" s="406">
        <f>Datos!BL10</f>
        <v>0</v>
      </c>
      <c r="C10" s="406">
        <f>Datos!AR10</f>
        <v>0</v>
      </c>
      <c r="D10" s="406">
        <f>Datos!BK10</f>
        <v>0</v>
      </c>
      <c r="E10" s="406">
        <f>Datos!AQ10</f>
        <v>0</v>
      </c>
      <c r="F10" s="407">
        <f>IF(ISNUMBER(E10/Datos!BH10),E10/Datos!BH10," - ")</f>
        <v>0</v>
      </c>
      <c r="G10" s="406" t="str">
        <f>IF(ISNUMBER(Datos!BJ10),Datos!BJ10," - ")</f>
        <v xml:space="preserve"> - </v>
      </c>
      <c r="H10" s="406" t="str">
        <f>IF(ISNUMBER(Datos!AS10),Datos!AS10," - ")</f>
        <v xml:space="preserve"> - </v>
      </c>
      <c r="I10" s="407" t="str">
        <f t="shared" ref="I10:I12" si="0">IF(ISNUMBER(G10/D10),G10/D10," - ")</f>
        <v xml:space="preserve"> - </v>
      </c>
      <c r="J10" s="407" t="str">
        <f t="shared" ref="J10:J12" si="1">IF(ISNUMBER(H10/E10),H10/E10," - ")</f>
        <v xml:space="preserve"> - </v>
      </c>
      <c r="K10" s="423" t="str">
        <f>IF(AND(ISNUMBER(I10/Datos!ER10),(G10&lt;&gt;0)),((I10-Datos!ER10)/Datos!ER10)," - ")</f>
        <v xml:space="preserve"> - </v>
      </c>
      <c r="L10" s="423" t="str">
        <f>IF(AND(ISNUMBER(J10/Datos!ER10),(H10&lt;&gt;0)),((J10-Datos!ER10)/Datos!ER10)," - ")</f>
        <v xml:space="preserve"> - </v>
      </c>
      <c r="M10" s="424">
        <f>IF(EXACT(Datos!ER10,""),"-",Datos!ER10)</f>
        <v>1600</v>
      </c>
    </row>
    <row r="11" spans="1:15">
      <c r="A11" s="405" t="str">
        <f>Datos!A11</f>
        <v xml:space="preserve">Jdos. Familia                                   </v>
      </c>
      <c r="B11" s="406">
        <f>Datos!BL11</f>
        <v>0</v>
      </c>
      <c r="C11" s="406">
        <f>Datos!AR11</f>
        <v>0</v>
      </c>
      <c r="D11" s="406">
        <f>Datos!BK11</f>
        <v>0</v>
      </c>
      <c r="E11" s="406">
        <f>Datos!AQ11</f>
        <v>0</v>
      </c>
      <c r="F11" s="407" t="str">
        <f>IF(ISNUMBER(E11/Datos!BH11),E11/Datos!BH11," - ")</f>
        <v xml:space="preserve"> - </v>
      </c>
      <c r="G11" s="406" t="str">
        <f>IF(ISNUMBER(Datos!BJ11),Datos!BJ11," - ")</f>
        <v xml:space="preserve"> - </v>
      </c>
      <c r="H11" s="406" t="str">
        <f>IF(ISNUMBER(Datos!AS11),Datos!AS11," - ")</f>
        <v xml:space="preserve"> - </v>
      </c>
      <c r="I11" s="407" t="str">
        <f t="shared" si="0"/>
        <v xml:space="preserve"> - </v>
      </c>
      <c r="J11" s="407" t="str">
        <f t="shared" si="1"/>
        <v xml:space="preserve"> - </v>
      </c>
      <c r="K11" s="423" t="str">
        <f>IF(AND(ISNUMBER(I11/Datos!ER11),(G11&lt;&gt;0)),((I11-Datos!ER11)/Datos!ER11)," - ")</f>
        <v xml:space="preserve"> - </v>
      </c>
      <c r="L11" s="423" t="str">
        <f>IF(AND(ISNUMBER(J11/Datos!ER11),(H11&lt;&gt;0)),((J11-Datos!ER11)/Datos!ER11)," - ")</f>
        <v xml:space="preserve"> - </v>
      </c>
      <c r="M11" s="424">
        <f>IF(EXACT(Datos!ER11,""),"-",Datos!ER11)</f>
        <v>1323</v>
      </c>
    </row>
    <row r="12" spans="1:15" ht="13.5" thickBot="1">
      <c r="A12" s="405" t="str">
        <f>Datos!A12</f>
        <v xml:space="preserve">Jdos. 1ª Instª. e Instr.                        </v>
      </c>
      <c r="B12" s="406">
        <f>Datos!BL12</f>
        <v>0</v>
      </c>
      <c r="C12" s="406">
        <f>Datos!AR12</f>
        <v>2</v>
      </c>
      <c r="D12" s="406">
        <f>Datos!BK12</f>
        <v>0</v>
      </c>
      <c r="E12" s="406">
        <f>Datos!AQ12</f>
        <v>2</v>
      </c>
      <c r="F12" s="407">
        <f>IF(ISNUMBER(E12/Datos!BH12),E12/Datos!BH12," - ")</f>
        <v>1</v>
      </c>
      <c r="G12" s="406" t="str">
        <f>IF(ISNUMBER(Datos!BJ12),Datos!BJ12," - ")</f>
        <v xml:space="preserve"> - </v>
      </c>
      <c r="H12" s="406" t="str">
        <f>IF(ISNUMBER(Datos!AS12),Datos!AS12," - ")</f>
        <v xml:space="preserve"> - </v>
      </c>
      <c r="I12" s="407" t="str">
        <f t="shared" si="0"/>
        <v xml:space="preserve"> - </v>
      </c>
      <c r="J12" s="407" t="str">
        <f t="shared" si="1"/>
        <v xml:space="preserve"> - </v>
      </c>
      <c r="K12" s="423" t="str">
        <f>IF(AND(ISNUMBER(I12/Datos!ER12),(G12&lt;&gt;0)),((I12-Datos!ER12)/Datos!ER12)," - ")</f>
        <v xml:space="preserve"> - </v>
      </c>
      <c r="L12" s="423" t="str">
        <f>IF(AND(ISNUMBER(J12/Datos!ER12),(H12&lt;&gt;0)),((J12-Datos!ER12)/Datos!ER12)," - ")</f>
        <v xml:space="preserve"> - </v>
      </c>
      <c r="M12" s="424">
        <f>IF(EXACT(Datos!ER12,""),"-",Datos!ER12)</f>
        <v>680</v>
      </c>
    </row>
    <row r="13" spans="1:15" ht="14.25" thickTop="1" thickBot="1">
      <c r="A13" s="851"/>
      <c r="B13" s="855"/>
      <c r="C13" s="855"/>
      <c r="D13" s="852"/>
      <c r="E13" s="852"/>
      <c r="F13" s="853"/>
      <c r="G13" s="852"/>
      <c r="H13" s="853"/>
      <c r="I13" s="852"/>
      <c r="J13" s="853"/>
      <c r="K13" s="852"/>
      <c r="L13" s="853"/>
      <c r="M13" s="853"/>
    </row>
    <row r="14" spans="1:15" ht="13.5" thickTop="1">
      <c r="A14" s="399" t="str">
        <f>Datos!A14</f>
        <v xml:space="preserve">Jurisdicción Penal ( 2 ):                      </v>
      </c>
      <c r="B14" s="421"/>
      <c r="C14" s="421"/>
      <c r="D14" s="409"/>
      <c r="E14" s="409"/>
      <c r="F14" s="410"/>
      <c r="G14" s="409"/>
      <c r="H14" s="410"/>
      <c r="I14" s="409"/>
      <c r="J14" s="410"/>
      <c r="K14" s="409"/>
      <c r="L14" s="410"/>
      <c r="M14" s="426"/>
    </row>
    <row r="15" spans="1:15">
      <c r="A15" s="405" t="str">
        <f>Datos!A15</f>
        <v xml:space="preserve">Jdos. Instrucción                               </v>
      </c>
      <c r="B15" s="406">
        <f>Datos!BL15</f>
        <v>0</v>
      </c>
      <c r="C15" s="406">
        <f>Datos!AR15</f>
        <v>0</v>
      </c>
      <c r="D15" s="406">
        <f>Datos!BK15</f>
        <v>0</v>
      </c>
      <c r="E15" s="406">
        <f>Datos!AQ15</f>
        <v>0</v>
      </c>
      <c r="F15" s="407" t="str">
        <f>IF(ISNUMBER(E15/Datos!BH15),E15/Datos!BH15," - ")</f>
        <v xml:space="preserve"> - </v>
      </c>
      <c r="G15" s="406" t="str">
        <f>IF(ISNUMBER(Datos!BJ15),Datos!BJ15," - ")</f>
        <v xml:space="preserve"> - </v>
      </c>
      <c r="H15" s="406" t="str">
        <f>IF(ISNUMBER(Datos!AS15),Datos!AS15," - ")</f>
        <v xml:space="preserve"> - </v>
      </c>
      <c r="I15" s="407" t="str">
        <f t="shared" ref="I15:I17" si="2">IF(ISNUMBER(G15/D15),G15/D15," - ")</f>
        <v xml:space="preserve"> - </v>
      </c>
      <c r="J15" s="407" t="str">
        <f t="shared" ref="J15:J17" si="3">IF(ISNUMBER(H15/E15),H15/E15," - ")</f>
        <v xml:space="preserve"> - </v>
      </c>
      <c r="K15" s="423" t="str">
        <f>IF(AND(ISNUMBER(I15/Datos!ER15),(G15&lt;&gt;0)),((I15-Datos!ER15)/Datos!ER15)," - ")</f>
        <v xml:space="preserve"> - </v>
      </c>
      <c r="L15" s="423" t="str">
        <f>IF(AND(ISNUMBER(J15/Datos!ER15),(H15&lt;&gt;0)),((J15-Datos!ER15)/Datos!ER15)," - ")</f>
        <v xml:space="preserve"> - </v>
      </c>
      <c r="M15" s="424">
        <f>IF(EXACT(Datos!ER15,""),"-",Datos!ER15)</f>
        <v>3300</v>
      </c>
    </row>
    <row r="16" spans="1:15">
      <c r="A16" s="405" t="str">
        <f>Datos!A16</f>
        <v xml:space="preserve">Jdos. 1ª Instª. e Instr.                        </v>
      </c>
      <c r="B16" s="406">
        <f>Datos!BL16</f>
        <v>0</v>
      </c>
      <c r="C16" s="406">
        <f>Datos!AR16</f>
        <v>2</v>
      </c>
      <c r="D16" s="406">
        <f>Datos!BK16</f>
        <v>0</v>
      </c>
      <c r="E16" s="406">
        <f>Datos!AQ16</f>
        <v>2</v>
      </c>
      <c r="F16" s="407">
        <f>IF(ISNUMBER(E16/Datos!BH16),E16/Datos!BH16," - ")</f>
        <v>1</v>
      </c>
      <c r="G16" s="406" t="str">
        <f>IF(ISNUMBER(Datos!BJ16),Datos!BJ16," - ")</f>
        <v xml:space="preserve"> - </v>
      </c>
      <c r="H16" s="406" t="str">
        <f>IF(ISNUMBER(Datos!AS16),Datos!AS16," - ")</f>
        <v xml:space="preserve"> - </v>
      </c>
      <c r="I16" s="407" t="str">
        <f t="shared" si="2"/>
        <v xml:space="preserve"> - </v>
      </c>
      <c r="J16" s="407" t="str">
        <f t="shared" si="3"/>
        <v xml:space="preserve"> - </v>
      </c>
      <c r="K16" s="423" t="str">
        <f>IF(AND(ISNUMBER(I16/Datos!ER16),(G16&lt;&gt;0)),((I16-Datos!ER16)/Datos!ER16)," - ")</f>
        <v xml:space="preserve"> - </v>
      </c>
      <c r="L16" s="423" t="str">
        <f>IF(AND(ISNUMBER(J16/Datos!ER16),(H16&lt;&gt;0)),((J16-Datos!ER16)/Datos!ER16)," - ")</f>
        <v xml:space="preserve"> - </v>
      </c>
      <c r="M16" s="424">
        <f>IF(EXACT(Datos!ER16,""),"-",Datos!ER16)</f>
        <v>1000</v>
      </c>
    </row>
    <row r="17" spans="1:13" ht="13.5" thickBot="1">
      <c r="A17" s="405" t="str">
        <f>Datos!A17</f>
        <v>Jdos. Violencia contra la mujer</v>
      </c>
      <c r="B17" s="406">
        <f>Datos!BL17</f>
        <v>0</v>
      </c>
      <c r="C17" s="406">
        <f>Datos!AR17</f>
        <v>0</v>
      </c>
      <c r="D17" s="406">
        <f>Datos!BK17</f>
        <v>0</v>
      </c>
      <c r="E17" s="406">
        <f>Datos!AQ17</f>
        <v>0</v>
      </c>
      <c r="F17" s="407">
        <f>IF(ISNUMBER(E17/Datos!BH17),E17/Datos!BH17," - ")</f>
        <v>0</v>
      </c>
      <c r="G17" s="406" t="str">
        <f>IF(ISNUMBER(Datos!BJ17),Datos!BJ17," - ")</f>
        <v xml:space="preserve"> - </v>
      </c>
      <c r="H17" s="406" t="str">
        <f>IF(ISNUMBER(Datos!AS17),Datos!AS17," - ")</f>
        <v xml:space="preserve"> - </v>
      </c>
      <c r="I17" s="407" t="str">
        <f t="shared" si="2"/>
        <v xml:space="preserve"> - </v>
      </c>
      <c r="J17" s="407" t="str">
        <f t="shared" si="3"/>
        <v xml:space="preserve"> - </v>
      </c>
      <c r="K17" s="423" t="str">
        <f>IF(AND(ISNUMBER(I17/Datos!ER17),(G17&lt;&gt;0)),((I17-Datos!ER17)/Datos!ER17)," - ")</f>
        <v xml:space="preserve"> - </v>
      </c>
      <c r="L17" s="423" t="str">
        <f>IF(AND(ISNUMBER(J17/Datos!ER17),(H17&lt;&gt;0)),((J17-Datos!ER17)/Datos!ER17)," - ")</f>
        <v xml:space="preserve"> - </v>
      </c>
      <c r="M17" s="424">
        <f>IF(EXACT(Datos!ER17,""),"-",Datos!ER17)</f>
        <v>1600</v>
      </c>
    </row>
    <row r="18" spans="1:13" ht="14.25" thickTop="1" thickBot="1">
      <c r="A18" s="851"/>
      <c r="B18" s="855"/>
      <c r="C18" s="855"/>
      <c r="D18" s="852"/>
      <c r="E18" s="852"/>
      <c r="F18" s="853"/>
      <c r="G18" s="852"/>
      <c r="H18" s="853"/>
      <c r="I18" s="852"/>
      <c r="J18" s="853"/>
      <c r="K18" s="852"/>
      <c r="L18" s="853"/>
      <c r="M18" s="853"/>
    </row>
    <row r="19" spans="1:13" ht="16.5" customHeight="1" thickTop="1" thickBot="1">
      <c r="A19" s="796"/>
      <c r="B19" s="800"/>
      <c r="C19" s="800"/>
      <c r="D19" s="797"/>
      <c r="E19" s="797"/>
      <c r="F19" s="798"/>
      <c r="G19" s="797"/>
      <c r="H19" s="798"/>
      <c r="I19" s="797"/>
      <c r="J19" s="798"/>
      <c r="K19" s="797"/>
      <c r="L19" s="798"/>
      <c r="M19" s="798"/>
    </row>
    <row r="20" spans="1:13">
      <c r="A20" s="414"/>
      <c r="B20" s="414"/>
      <c r="C20" s="414"/>
      <c r="D20" s="415"/>
    </row>
    <row r="21" spans="1:13">
      <c r="A21" s="414"/>
      <c r="B21" s="414"/>
      <c r="C21" s="414"/>
      <c r="D21" s="414"/>
    </row>
    <row r="22" spans="1:13">
      <c r="A22" s="1188"/>
      <c r="B22" s="1188"/>
      <c r="C22" s="1188"/>
      <c r="D22" s="1188"/>
    </row>
    <row r="23" spans="1:13">
      <c r="A23" s="394" t="str">
        <f>Criterios!A4</f>
        <v>Fecha Informe: 03 may. 2024</v>
      </c>
      <c r="B23" s="394"/>
      <c r="C23" s="394"/>
    </row>
    <row r="27" spans="1:13">
      <c r="A27" s="417"/>
      <c r="B27" s="417"/>
      <c r="C27" s="417"/>
    </row>
  </sheetData>
  <sheetProtection algorithmName="SHA-512" hashValue="d2nTPPgIjmnWn4hFK3UlACyvFLeV3RU+VC2KofQLKHUtS/sgd+xL7TL0OpA7HkYdvLwvliOEOrkHD1TkaICe1w==" saltValue="IpfrFGx5tyhc06jIVhbE4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election activeCell="D10" sqref="D10"/>
    </sheetView>
  </sheetViews>
  <sheetFormatPr baseColWidth="10" defaultColWidth="11.42578125" defaultRowHeight="12.75"/>
  <cols>
    <col min="1" max="1" width="42.42578125" style="375" customWidth="1"/>
    <col min="2" max="2" width="9.7109375" style="375" customWidth="1"/>
    <col min="3" max="3" width="13.5703125" style="375" hidden="1" customWidth="1"/>
    <col min="4" max="4" width="14.5703125" style="375" customWidth="1"/>
    <col min="5" max="5" width="14.28515625" style="375" customWidth="1"/>
    <col min="6" max="7" width="14.140625" style="375" customWidth="1"/>
    <col min="8" max="8" width="13.85546875" style="375" customWidth="1"/>
    <col min="9" max="9" width="14" style="375" customWidth="1"/>
    <col min="10" max="16384" width="11.42578125" style="375"/>
  </cols>
  <sheetData>
    <row r="1" spans="1:9" ht="105" customHeight="1">
      <c r="G1" s="427"/>
    </row>
    <row r="2" spans="1:9" ht="18.75" customHeight="1">
      <c r="B2" s="392" t="str">
        <f>Criterios!A9 &amp;"  "&amp;Criterios!B9</f>
        <v>Tribunales de Justicia  ASTURIAS</v>
      </c>
      <c r="C2" s="394"/>
    </row>
    <row r="3" spans="1:9" ht="19.5">
      <c r="A3" s="428" t="s">
        <v>11</v>
      </c>
      <c r="B3" s="394" t="str">
        <f>Criterios!A10 &amp;"  "&amp;Criterios!B10</f>
        <v>Provincias  ASTURIAS</v>
      </c>
      <c r="C3" s="394"/>
      <c r="D3" s="428"/>
    </row>
    <row r="4" spans="1:9" ht="13.5" thickBot="1">
      <c r="B4" s="394" t="str">
        <f>Criterios!A11 &amp;"  "&amp;Criterios!B11</f>
        <v>Resumenes por Partidos Judiciales  LENA</v>
      </c>
    </row>
    <row r="5" spans="1:9" ht="15.75" customHeight="1">
      <c r="A5" s="1201" t="str">
        <f>"Año:  " &amp;Criterios!B5 &amp; "                  Trimestre   " &amp;Criterios!D5 &amp; " al " &amp;Criterios!D6</f>
        <v>Año:  2023                  Trimestre   1 al 4</v>
      </c>
      <c r="B5" s="1213" t="s">
        <v>116</v>
      </c>
      <c r="C5" s="1213" t="s">
        <v>123</v>
      </c>
      <c r="D5" s="1191" t="s">
        <v>86</v>
      </c>
      <c r="E5" s="1192"/>
      <c r="F5" s="1191" t="s">
        <v>87</v>
      </c>
      <c r="G5" s="1196"/>
      <c r="H5" s="1191" t="s">
        <v>232</v>
      </c>
      <c r="I5" s="1196"/>
    </row>
    <row r="6" spans="1:9" ht="14.25" customHeight="1" thickBot="1">
      <c r="A6" s="1202"/>
      <c r="B6" s="1214"/>
      <c r="C6" s="1214"/>
      <c r="D6" s="1193"/>
      <c r="E6" s="1194"/>
      <c r="F6" s="1193"/>
      <c r="G6" s="1197"/>
      <c r="H6" s="1193"/>
      <c r="I6" s="1197"/>
    </row>
    <row r="7" spans="1:9" ht="46.5" customHeight="1" thickTop="1" thickBot="1">
      <c r="A7" s="395" t="str">
        <f>Datos!A7</f>
        <v>COMPETENCIAS</v>
      </c>
      <c r="B7" s="419" t="s">
        <v>117</v>
      </c>
      <c r="C7" s="419" t="s">
        <v>117</v>
      </c>
      <c r="D7" s="397" t="s">
        <v>93</v>
      </c>
      <c r="E7" s="398" t="s">
        <v>6</v>
      </c>
      <c r="F7" s="397" t="s">
        <v>94</v>
      </c>
      <c r="G7" s="398" t="s">
        <v>6</v>
      </c>
      <c r="H7" s="397" t="s">
        <v>233</v>
      </c>
      <c r="I7" s="398" t="s">
        <v>6</v>
      </c>
    </row>
    <row r="8" spans="1:9">
      <c r="A8" s="399" t="str">
        <f>Datos!A8</f>
        <v>Jurisdicción Civil ( 1 ):</v>
      </c>
      <c r="B8" s="429"/>
      <c r="C8" s="403"/>
      <c r="D8" s="401"/>
      <c r="E8" s="403"/>
      <c r="F8" s="401"/>
      <c r="G8" s="402"/>
      <c r="H8" s="401"/>
      <c r="I8" s="402"/>
    </row>
    <row r="9" spans="1:9">
      <c r="A9" s="405" t="str">
        <f>Datos!A9</f>
        <v xml:space="preserve">Jdos. 1ª Instancia   </v>
      </c>
      <c r="B9" s="430">
        <f>Datos!AO9</f>
        <v>0</v>
      </c>
      <c r="C9" s="413">
        <f>Datos!AQ9</f>
        <v>0</v>
      </c>
      <c r="D9" s="406" t="str">
        <f>IF(ISNUMBER(Datos!M9),Datos!M9," - ")</f>
        <v xml:space="preserve"> - </v>
      </c>
      <c r="E9" s="407" t="str">
        <f t="shared" ref="E9:E13" si="0">IF(ISNUMBER(D9/B9),D9/B9," - ")</f>
        <v xml:space="preserve"> - </v>
      </c>
      <c r="F9" s="406" t="str">
        <f>IF(ISNUMBER(Datos!N9),Datos!N9," - ")</f>
        <v xml:space="preserve"> - </v>
      </c>
      <c r="G9" s="407" t="str">
        <f t="shared" ref="G9:G13" si="1">IF(ISNUMBER(F9/B9),F9/B9," - ")</f>
        <v xml:space="preserve"> - </v>
      </c>
      <c r="H9" s="406" t="str">
        <f>IF(ISNUMBER(Datos!O9),Datos!O9," - ")</f>
        <v xml:space="preserve"> - </v>
      </c>
      <c r="I9" s="407" t="str">
        <f>IF(ISNUMBER(H9/B9),H9/B9," - ")</f>
        <v xml:space="preserve"> - </v>
      </c>
    </row>
    <row r="10" spans="1:9">
      <c r="A10" s="405" t="str">
        <f>Datos!A10</f>
        <v>Jdos. Violencia contra la mujer</v>
      </c>
      <c r="B10" s="430">
        <f>Datos!AO10</f>
        <v>1</v>
      </c>
      <c r="C10" s="413">
        <f>Datos!AQ10</f>
        <v>0</v>
      </c>
      <c r="D10" s="406">
        <f>IF(ISNUMBER(Datos!M10),Datos!M10," - ")</f>
        <v>4</v>
      </c>
      <c r="E10" s="407">
        <f>IF(ISNUMBER(D10/B10),D10/B10," - ")</f>
        <v>4</v>
      </c>
      <c r="F10" s="406">
        <f>IF(ISNUMBER(Datos!N10),Datos!N10," - ")</f>
        <v>4</v>
      </c>
      <c r="G10" s="407">
        <f>IF(ISNUMBER(F10/B10),F10/B10," - ")</f>
        <v>4</v>
      </c>
      <c r="H10" s="406">
        <f>IF(ISNUMBER(Datos!O10),Datos!O10," - ")</f>
        <v>0</v>
      </c>
      <c r="I10" s="407">
        <f t="shared" ref="I10:I12" si="2">IF(ISNUMBER(H10/B10),H10/B10," - ")</f>
        <v>0</v>
      </c>
    </row>
    <row r="11" spans="1:9">
      <c r="A11" s="405" t="str">
        <f>Datos!A11</f>
        <v xml:space="preserve">Jdos. Familia                                   </v>
      </c>
      <c r="B11" s="430">
        <f>Datos!AO11</f>
        <v>0</v>
      </c>
      <c r="C11" s="413">
        <f>Datos!AQ11</f>
        <v>0</v>
      </c>
      <c r="D11" s="406" t="str">
        <f>IF(ISNUMBER(Datos!M11),Datos!M11," - ")</f>
        <v xml:space="preserve"> - </v>
      </c>
      <c r="E11" s="407" t="str">
        <f t="shared" si="0"/>
        <v xml:space="preserve"> - </v>
      </c>
      <c r="F11" s="406" t="str">
        <f>IF(ISNUMBER(Datos!N11),Datos!N11," - ")</f>
        <v xml:space="preserve"> - </v>
      </c>
      <c r="G11" s="407" t="str">
        <f t="shared" si="1"/>
        <v xml:space="preserve"> - </v>
      </c>
      <c r="H11" s="406" t="str">
        <f>IF(ISNUMBER(Datos!O11),Datos!O11," - ")</f>
        <v xml:space="preserve"> - </v>
      </c>
      <c r="I11" s="407" t="str">
        <f t="shared" si="2"/>
        <v xml:space="preserve"> - </v>
      </c>
    </row>
    <row r="12" spans="1:9" ht="13.5" thickBot="1">
      <c r="A12" s="405" t="str">
        <f>Datos!A12</f>
        <v xml:space="preserve">Jdos. 1ª Instª. e Instr.                        </v>
      </c>
      <c r="B12" s="430">
        <f>Datos!AO12</f>
        <v>2</v>
      </c>
      <c r="C12" s="413">
        <f>Datos!AQ12</f>
        <v>2</v>
      </c>
      <c r="D12" s="406">
        <f>IF(ISNUMBER(Datos!M12),Datos!M12," - ")</f>
        <v>237</v>
      </c>
      <c r="E12" s="407">
        <f t="shared" si="0"/>
        <v>118.5</v>
      </c>
      <c r="F12" s="406">
        <f>IF(ISNUMBER(Datos!N12),Datos!N12," - ")</f>
        <v>393</v>
      </c>
      <c r="G12" s="407">
        <f t="shared" si="1"/>
        <v>196.5</v>
      </c>
      <c r="H12" s="406">
        <f>IF(ISNUMBER(Datos!O12),Datos!O12," - ")</f>
        <v>341</v>
      </c>
      <c r="I12" s="407">
        <f t="shared" si="2"/>
        <v>170.5</v>
      </c>
    </row>
    <row r="13" spans="1:9" ht="14.25" thickTop="1" thickBot="1">
      <c r="A13" s="851" t="str">
        <f>Datos!A13</f>
        <v>TOTAL</v>
      </c>
      <c r="B13" s="852">
        <f>Datos!AO13</f>
        <v>3</v>
      </c>
      <c r="C13" s="854">
        <f>Datos!AR13</f>
        <v>2</v>
      </c>
      <c r="D13" s="852">
        <f>SUBTOTAL(9,D9:D12)</f>
        <v>241</v>
      </c>
      <c r="E13" s="853">
        <f t="shared" si="0"/>
        <v>80.333333333333329</v>
      </c>
      <c r="F13" s="852">
        <f>SUBTOTAL(9,F9:F12)</f>
        <v>397</v>
      </c>
      <c r="G13" s="853">
        <f t="shared" si="1"/>
        <v>132.33333333333334</v>
      </c>
      <c r="H13" s="852">
        <f>SUBTOTAL(9,H9:H12)</f>
        <v>341</v>
      </c>
      <c r="I13" s="853">
        <f>IF(ISNUMBER(H13/B13),H13/B13," - ")</f>
        <v>113.66666666666667</v>
      </c>
    </row>
    <row r="14" spans="1:9" ht="13.5" thickTop="1">
      <c r="A14" s="399" t="str">
        <f>Datos!A14</f>
        <v xml:space="preserve">Jurisdicción Penal ( 2 ):                      </v>
      </c>
      <c r="B14" s="430">
        <f>Datos!AO14</f>
        <v>0</v>
      </c>
      <c r="C14" s="411"/>
      <c r="D14" s="409"/>
      <c r="E14" s="410"/>
      <c r="F14" s="409"/>
      <c r="G14" s="410"/>
      <c r="H14" s="409"/>
      <c r="I14" s="410"/>
    </row>
    <row r="15" spans="1:9">
      <c r="A15" s="405" t="str">
        <f>Datos!A15</f>
        <v xml:space="preserve">Jdos. Instrucción                               </v>
      </c>
      <c r="B15" s="430">
        <f>Datos!AO15</f>
        <v>0</v>
      </c>
      <c r="C15" s="431">
        <f>Datos!AQ15</f>
        <v>0</v>
      </c>
      <c r="D15" s="406" t="str">
        <f>IF(ISNUMBER(Datos!M15),Datos!M15," - ")</f>
        <v xml:space="preserve"> - </v>
      </c>
      <c r="E15" s="407" t="str">
        <f t="shared" ref="E15:E18" si="3">IF(ISNUMBER(D15/B15),D15/B15," - ")</f>
        <v xml:space="preserve"> - </v>
      </c>
      <c r="F15" s="406" t="str">
        <f>IF(ISNUMBER(Datos!N15),Datos!N15," - ")</f>
        <v xml:space="preserve"> - </v>
      </c>
      <c r="G15" s="407" t="str">
        <f t="shared" ref="G15:G18" si="4">IF(ISNUMBER(F15/B15),F15/B15," - ")</f>
        <v xml:space="preserve"> - </v>
      </c>
      <c r="H15" s="406" t="str">
        <f>IF(ISNUMBER(Datos!O15),Datos!O15," - ")</f>
        <v xml:space="preserve"> - </v>
      </c>
      <c r="I15" s="407" t="str">
        <f t="shared" ref="I15:I17" si="5">IF(ISNUMBER(H15/B15),H15/B15," - ")</f>
        <v xml:space="preserve"> - </v>
      </c>
    </row>
    <row r="16" spans="1:9">
      <c r="A16" s="405" t="str">
        <f>Datos!A16</f>
        <v xml:space="preserve">Jdos. 1ª Instª. e Instr.                        </v>
      </c>
      <c r="B16" s="430">
        <f>Datos!AO16</f>
        <v>2</v>
      </c>
      <c r="C16" s="431">
        <f>Datos!AQ16</f>
        <v>2</v>
      </c>
      <c r="D16" s="406">
        <f>IF(ISNUMBER(Datos!M16),Datos!M16," - ")</f>
        <v>120</v>
      </c>
      <c r="E16" s="407">
        <f t="shared" si="3"/>
        <v>60</v>
      </c>
      <c r="F16" s="406">
        <f>IF(ISNUMBER(Datos!N16),Datos!N16," - ")</f>
        <v>521</v>
      </c>
      <c r="G16" s="407">
        <f t="shared" si="4"/>
        <v>260.5</v>
      </c>
      <c r="H16" s="406">
        <f>IF(ISNUMBER(Datos!O16),Datos!O16," - ")</f>
        <v>12</v>
      </c>
      <c r="I16" s="407">
        <f t="shared" si="5"/>
        <v>6</v>
      </c>
    </row>
    <row r="17" spans="1:9" ht="13.5" thickBot="1">
      <c r="A17" s="405" t="str">
        <f>Datos!A17</f>
        <v>Jdos. Violencia contra la mujer</v>
      </c>
      <c r="B17" s="430">
        <f>Datos!AO17</f>
        <v>1</v>
      </c>
      <c r="C17" s="431">
        <f>Datos!AQ17</f>
        <v>0</v>
      </c>
      <c r="D17" s="406">
        <f>IF(ISNUMBER(Datos!M17),Datos!M17," - ")</f>
        <v>25</v>
      </c>
      <c r="E17" s="407">
        <f>IF(ISNUMBER(D17/B17),D17/B17," - ")</f>
        <v>25</v>
      </c>
      <c r="F17" s="406">
        <f>IF(ISNUMBER(Datos!N17),Datos!N17," - ")</f>
        <v>65</v>
      </c>
      <c r="G17" s="407">
        <f>IF(ISNUMBER(F17/B17),F17/B17," - ")</f>
        <v>65</v>
      </c>
      <c r="H17" s="406">
        <f>IF(ISNUMBER(Datos!O17),Datos!O17," - ")</f>
        <v>0</v>
      </c>
      <c r="I17" s="407">
        <f t="shared" si="5"/>
        <v>0</v>
      </c>
    </row>
    <row r="18" spans="1:9" ht="14.25" thickTop="1" thickBot="1">
      <c r="A18" s="851" t="str">
        <f>Datos!A18</f>
        <v>TOTAL</v>
      </c>
      <c r="B18" s="852">
        <f>Datos!AO18</f>
        <v>3</v>
      </c>
      <c r="C18" s="854">
        <f>Datos!AR18</f>
        <v>2</v>
      </c>
      <c r="D18" s="852">
        <f>SUBTOTAL(9,D15:D17)</f>
        <v>145</v>
      </c>
      <c r="E18" s="853">
        <f t="shared" si="3"/>
        <v>48.333333333333336</v>
      </c>
      <c r="F18" s="852">
        <f>SUBTOTAL(9,F15:F17)</f>
        <v>586</v>
      </c>
      <c r="G18" s="853">
        <f t="shared" si="4"/>
        <v>195.33333333333334</v>
      </c>
      <c r="H18" s="852">
        <f>SUBTOTAL(9,H15:H17)</f>
        <v>12</v>
      </c>
      <c r="I18" s="853">
        <f>IF(ISNUMBER(H18/B18),H18/B18," - ")</f>
        <v>4</v>
      </c>
    </row>
    <row r="19" spans="1:9" ht="14.25" thickTop="1" thickBot="1">
      <c r="A19" s="796" t="str">
        <f>Datos!A19</f>
        <v>TOTAL JURISDICCIONES</v>
      </c>
      <c r="B19" s="797">
        <f>Datos!AP19</f>
        <v>2</v>
      </c>
      <c r="C19" s="797">
        <f>Datos!AR19</f>
        <v>2</v>
      </c>
      <c r="D19" s="797">
        <f>SUBTOTAL(9,D8:D18)</f>
        <v>386</v>
      </c>
      <c r="E19" s="798">
        <f>IF(ISNUMBER(D19/B19),D19/B19," - ")</f>
        <v>193</v>
      </c>
      <c r="F19" s="797">
        <f>SUBTOTAL(9,F8:F18)</f>
        <v>983</v>
      </c>
      <c r="G19" s="798">
        <f>IF(ISNUMBER(F19/B19),F19/B19," - ")</f>
        <v>491.5</v>
      </c>
      <c r="H19" s="797">
        <f>SUBTOTAL(9,H8:H18)</f>
        <v>353</v>
      </c>
      <c r="I19" s="798">
        <f>IF(ISNUMBER(H19/B19),H19/B19," - ")</f>
        <v>176.5</v>
      </c>
    </row>
    <row r="22" spans="1:9">
      <c r="A22" s="394" t="str">
        <f>Criterios!A4</f>
        <v>Fecha Informe: 03 may. 2024</v>
      </c>
    </row>
    <row r="27" spans="1:9">
      <c r="A27" s="417"/>
    </row>
  </sheetData>
  <sheetProtection algorithmName="SHA-512" hashValue="RjSKuzEq5YcKkS1jG4/qFKnlDRYXmLVve1zahjqNl/nKhKSY+S0bVsZghMctMF6VBnykBmSh3htRzbOJy+1dSw==" saltValue="SFvYsbOCa3T1wvKtSygDD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election activeCell="B9" sqref="B9"/>
    </sheetView>
  </sheetViews>
  <sheetFormatPr baseColWidth="10" defaultColWidth="11.42578125" defaultRowHeight="12.75"/>
  <cols>
    <col min="1" max="1" width="45.28515625" style="375" customWidth="1"/>
    <col min="2" max="2" width="14.140625" style="375" customWidth="1"/>
    <col min="3" max="3" width="14.28515625" style="375" customWidth="1"/>
    <col min="4" max="4" width="14" style="375" customWidth="1"/>
    <col min="5" max="16384" width="11.42578125" style="375"/>
  </cols>
  <sheetData>
    <row r="1" spans="1:4" ht="106.5" customHeight="1"/>
    <row r="2" spans="1:4" ht="16.5" customHeight="1">
      <c r="B2" s="392" t="str">
        <f>Criterios!A9 &amp;"  "&amp;Criterios!B9</f>
        <v>Tribunales de Justicia  ASTURIAS</v>
      </c>
    </row>
    <row r="3" spans="1:4" ht="19.5">
      <c r="A3" s="432" t="s">
        <v>32</v>
      </c>
      <c r="B3" s="394" t="str">
        <f>Criterios!A10 &amp;"  "&amp;Criterios!B10</f>
        <v>Provincias  ASTURIAS</v>
      </c>
    </row>
    <row r="4" spans="1:4" ht="13.5" thickBot="1">
      <c r="B4" s="394" t="str">
        <f>Criterios!A11 &amp;"  "&amp;Criterios!B11</f>
        <v>Resumenes por Partidos Judiciales  LENA</v>
      </c>
    </row>
    <row r="5" spans="1:4" ht="12.75" customHeight="1">
      <c r="A5" s="1201" t="str">
        <f>"Año:  " &amp;Criterios!B5 &amp; "                  Trimestre   " &amp;Criterios!D5 &amp; " al " &amp;Criterios!D6</f>
        <v>Año:  2023                  Trimestre   1 al 4</v>
      </c>
      <c r="B5" s="1215" t="s">
        <v>10</v>
      </c>
      <c r="C5" s="1215" t="s">
        <v>14</v>
      </c>
      <c r="D5" s="1215" t="s">
        <v>129</v>
      </c>
    </row>
    <row r="6" spans="1:4" ht="15.75" customHeight="1">
      <c r="A6" s="1202"/>
      <c r="B6" s="1216"/>
      <c r="C6" s="1216"/>
      <c r="D6" s="1216"/>
    </row>
    <row r="7" spans="1:4" ht="26.25" customHeight="1" thickBot="1">
      <c r="A7" s="395" t="str">
        <f>Datos!A7</f>
        <v>COMPETENCIAS</v>
      </c>
      <c r="B7" s="1217"/>
      <c r="C7" s="1217"/>
      <c r="D7" s="1217"/>
    </row>
    <row r="8" spans="1:4">
      <c r="A8" s="399" t="str">
        <f>Datos!A8</f>
        <v>Jurisdicción Civil ( 1 ):</v>
      </c>
      <c r="B8" s="433"/>
      <c r="C8" s="434"/>
      <c r="D8" s="435"/>
    </row>
    <row r="9" spans="1:4">
      <c r="A9" s="405" t="str">
        <f>Datos!A9</f>
        <v xml:space="preserve">Jdos. 1ª Instancia   </v>
      </c>
      <c r="B9" s="436" t="str">
        <f>IF(ISNUMBER(Datos!P9),Datos!P9," - ")</f>
        <v xml:space="preserve"> - </v>
      </c>
      <c r="C9" s="437" t="str">
        <f>IF(ISNUMBER(Datos!Q9),Datos!Q9," - ")</f>
        <v xml:space="preserve"> - </v>
      </c>
      <c r="D9" s="411" t="str">
        <f>IF(ISNUMBER(Datos!R9),Datos!R9," - ")</f>
        <v xml:space="preserve"> - </v>
      </c>
    </row>
    <row r="10" spans="1:4">
      <c r="A10" s="405" t="str">
        <f>Datos!A10</f>
        <v>Jdos. Violencia contra la mujer</v>
      </c>
      <c r="B10" s="436">
        <f>IF(ISNUMBER(Datos!P10),Datos!P10," - ")</f>
        <v>4</v>
      </c>
      <c r="C10" s="437">
        <f>IF(ISNUMBER(Datos!Q10),Datos!Q10," - ")</f>
        <v>0</v>
      </c>
      <c r="D10" s="411">
        <f>IF(ISNUMBER(Datos!R10),Datos!R10," - ")</f>
        <v>5</v>
      </c>
    </row>
    <row r="11" spans="1:4">
      <c r="A11" s="405" t="str">
        <f>Datos!A11</f>
        <v xml:space="preserve">Jdos. Familia                                   </v>
      </c>
      <c r="B11" s="436" t="str">
        <f>IF(ISNUMBER(Datos!P11),Datos!P11," - ")</f>
        <v xml:space="preserve"> - </v>
      </c>
      <c r="C11" s="437" t="str">
        <f>IF(ISNUMBER(Datos!Q11),Datos!Q11," - ")</f>
        <v xml:space="preserve"> - </v>
      </c>
      <c r="D11" s="411" t="str">
        <f>IF(ISNUMBER(Datos!R11),Datos!R11," - ")</f>
        <v xml:space="preserve"> - </v>
      </c>
    </row>
    <row r="12" spans="1:4" ht="13.5" thickBot="1">
      <c r="A12" s="405" t="str">
        <f>Datos!A12</f>
        <v xml:space="preserve">Jdos. 1ª Instª. e Instr.                        </v>
      </c>
      <c r="B12" s="436">
        <f>IF(ISNUMBER(Datos!P12),Datos!P12," - ")</f>
        <v>245</v>
      </c>
      <c r="C12" s="437">
        <f>IF(ISNUMBER(Datos!Q12),Datos!Q12," - ")</f>
        <v>280</v>
      </c>
      <c r="D12" s="411">
        <f>IF(ISNUMBER(Datos!R12),Datos!R12," - ")</f>
        <v>1087</v>
      </c>
    </row>
    <row r="13" spans="1:4" ht="14.25" thickTop="1" thickBot="1">
      <c r="A13" s="851" t="str">
        <f>Datos!A13</f>
        <v>TOTAL</v>
      </c>
      <c r="B13" s="852">
        <f>SUBTOTAL(9,B9:B12)</f>
        <v>249</v>
      </c>
      <c r="C13" s="856">
        <f>SUBTOTAL(9,C9:C12)</f>
        <v>280</v>
      </c>
      <c r="D13" s="854">
        <f>SUBTOTAL(9,D9:D12)</f>
        <v>1092</v>
      </c>
    </row>
    <row r="14" spans="1:4" ht="13.5" thickTop="1">
      <c r="A14" s="399" t="str">
        <f>Datos!A14</f>
        <v xml:space="preserve">Jurisdicción Penal ( 2 ):                      </v>
      </c>
      <c r="B14" s="409"/>
      <c r="C14" s="438"/>
      <c r="D14" s="411"/>
    </row>
    <row r="15" spans="1:4">
      <c r="A15" s="405" t="str">
        <f>Datos!A15</f>
        <v xml:space="preserve">Jdos. Instrucción                               </v>
      </c>
      <c r="B15" s="436" t="str">
        <f>IF(ISNUMBER(Datos!P15),Datos!P15," - ")</f>
        <v xml:space="preserve"> - </v>
      </c>
      <c r="C15" s="437" t="str">
        <f>IF(ISNUMBER(Datos!Q15),Datos!Q15," - ")</f>
        <v xml:space="preserve"> - </v>
      </c>
      <c r="D15" s="411" t="str">
        <f>IF(ISNUMBER(Datos!R15),Datos!R15," - ")</f>
        <v xml:space="preserve"> - </v>
      </c>
    </row>
    <row r="16" spans="1:4">
      <c r="A16" s="405" t="str">
        <f>Datos!A16</f>
        <v xml:space="preserve">Jdos. 1ª Instª. e Instr.                        </v>
      </c>
      <c r="B16" s="436">
        <f>IF(ISNUMBER(Datos!P16),Datos!P16," - ")</f>
        <v>32</v>
      </c>
      <c r="C16" s="437">
        <f>IF(ISNUMBER(Datos!Q16),Datos!Q16," - ")</f>
        <v>26</v>
      </c>
      <c r="D16" s="411">
        <f>IF(ISNUMBER(Datos!R16),Datos!R16," - ")</f>
        <v>48</v>
      </c>
    </row>
    <row r="17" spans="1:4" ht="13.5" thickBot="1">
      <c r="A17" s="405" t="str">
        <f>Datos!A17</f>
        <v>Jdos. Violencia contra la mujer</v>
      </c>
      <c r="B17" s="436">
        <f>IF(ISNUMBER(Datos!P17),Datos!P17," - ")</f>
        <v>3</v>
      </c>
      <c r="C17" s="437">
        <f>IF(ISNUMBER(Datos!Q17),Datos!Q17," - ")</f>
        <v>1</v>
      </c>
      <c r="D17" s="411">
        <f>IF(ISNUMBER(Datos!R17),Datos!R17," - ")</f>
        <v>3</v>
      </c>
    </row>
    <row r="18" spans="1:4" ht="14.25" thickTop="1" thickBot="1">
      <c r="A18" s="851" t="str">
        <f>Datos!A18</f>
        <v>TOTAL</v>
      </c>
      <c r="B18" s="852">
        <f>SUBTOTAL(9,B15:B17)</f>
        <v>35</v>
      </c>
      <c r="C18" s="856">
        <f>SUBTOTAL(9,C15:C17)</f>
        <v>27</v>
      </c>
      <c r="D18" s="854">
        <f>SUBTOTAL(9,D15:D17)</f>
        <v>51</v>
      </c>
    </row>
    <row r="19" spans="1:4" ht="16.5" customHeight="1" thickTop="1" thickBot="1">
      <c r="A19" s="796" t="str">
        <f>Datos!A19</f>
        <v>TOTAL JURISDICCIONES</v>
      </c>
      <c r="B19" s="801">
        <f>SUBTOTAL(9,B8:B18)</f>
        <v>284</v>
      </c>
      <c r="C19" s="802">
        <f>SUBTOTAL(9,C8:C18)</f>
        <v>307</v>
      </c>
      <c r="D19" s="803">
        <f>SUBTOTAL(9,D8:D18)</f>
        <v>1143</v>
      </c>
    </row>
    <row r="20" spans="1:4" ht="7.5" customHeight="1"/>
    <row r="21" spans="1:4" ht="6" customHeight="1"/>
    <row r="22" spans="1:4">
      <c r="A22" s="394" t="str">
        <f>Criterios!A4</f>
        <v>Fecha Informe: 03 may. 2024</v>
      </c>
    </row>
    <row r="27" spans="1:4">
      <c r="A27" s="417"/>
    </row>
  </sheetData>
  <sheetProtection algorithmName="SHA-512" hashValue="55fuFjXDbtUZOqS2WrysctMBseBPNdB6R2FyT8a869OAxLy+tzizXEfMRR5t8/pI5oucW3OroUJqVEDef4k3aQ==" saltValue="YY3FzEW09tLh+rBa3n5lE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5" customWidth="1"/>
    <col min="2" max="2" width="13.28515625" style="375" customWidth="1"/>
    <col min="3" max="3" width="12" style="375" customWidth="1"/>
    <col min="4" max="4" width="10.5703125" style="375" bestFit="1" customWidth="1"/>
    <col min="5" max="5" width="13.42578125" style="375" bestFit="1" customWidth="1"/>
    <col min="6" max="6" width="11.140625" style="375" customWidth="1"/>
    <col min="7" max="7" width="11.28515625" style="375" customWidth="1"/>
    <col min="8" max="8" width="12.7109375" style="375" bestFit="1" customWidth="1"/>
    <col min="9" max="10" width="12.28515625" style="375" customWidth="1"/>
    <col min="11" max="11" width="12.7109375" style="375" bestFit="1" customWidth="1"/>
    <col min="12" max="16384" width="11.42578125" style="375"/>
  </cols>
  <sheetData>
    <row r="1" spans="1:11" ht="97.5" customHeight="1"/>
    <row r="2" spans="1:11" ht="10.5" customHeight="1">
      <c r="B2" s="392" t="str">
        <f>Criterios!A9 &amp;"  "&amp;Criterios!B9</f>
        <v>Tribunales de Justicia  ASTURIAS</v>
      </c>
    </row>
    <row r="3" spans="1:11" ht="18.75" customHeight="1">
      <c r="A3" s="432" t="s">
        <v>118</v>
      </c>
      <c r="B3" s="394" t="str">
        <f>Criterios!A10 &amp;"  "&amp;Criterios!B10</f>
        <v>Provincias  ASTURIAS</v>
      </c>
    </row>
    <row r="4" spans="1:11" ht="10.5" customHeight="1" thickBot="1">
      <c r="B4" s="394" t="str">
        <f>Criterios!A11 &amp;"  "&amp;Criterios!B11</f>
        <v>Resumenes por Partidos Judiciales  LENA</v>
      </c>
    </row>
    <row r="5" spans="1:11" ht="12.75" customHeight="1">
      <c r="A5" s="1201" t="str">
        <f>"Año:  " &amp;Criterios!B5 &amp; "    Trimestre   " &amp;Criterios!D5 &amp; " al " &amp;Criterios!D6</f>
        <v>Año:  2023    Trimestre   1 al 4</v>
      </c>
      <c r="B5" s="1233" t="s">
        <v>128</v>
      </c>
      <c r="C5" s="1198" t="s">
        <v>13</v>
      </c>
      <c r="D5" s="1182" t="s">
        <v>9</v>
      </c>
      <c r="E5" s="1182" t="s">
        <v>129</v>
      </c>
      <c r="F5" s="1198" t="s">
        <v>7</v>
      </c>
      <c r="G5" s="1220" t="s">
        <v>8</v>
      </c>
      <c r="H5" s="1213" t="s">
        <v>119</v>
      </c>
      <c r="I5" s="1225" t="s">
        <v>120</v>
      </c>
      <c r="J5" s="1228" t="s">
        <v>121</v>
      </c>
      <c r="K5" s="1195" t="s">
        <v>122</v>
      </c>
    </row>
    <row r="6" spans="1:11" ht="12.75" customHeight="1">
      <c r="A6" s="1202"/>
      <c r="B6" s="1234"/>
      <c r="C6" s="1199"/>
      <c r="D6" s="1183"/>
      <c r="E6" s="1183"/>
      <c r="F6" s="1199"/>
      <c r="G6" s="1221"/>
      <c r="H6" s="1223"/>
      <c r="I6" s="1226"/>
      <c r="J6" s="1229"/>
      <c r="K6" s="1231"/>
    </row>
    <row r="7" spans="1:11" ht="23.25" customHeight="1" thickBot="1">
      <c r="A7" s="395" t="str">
        <f>Datos!A7</f>
        <v>COMPETENCIAS</v>
      </c>
      <c r="B7" s="1235"/>
      <c r="C7" s="1200"/>
      <c r="D7" s="1184"/>
      <c r="E7" s="1184"/>
      <c r="F7" s="1200"/>
      <c r="G7" s="1222"/>
      <c r="H7" s="1224"/>
      <c r="I7" s="1227"/>
      <c r="J7" s="1230"/>
      <c r="K7" s="1232"/>
    </row>
    <row r="8" spans="1:11">
      <c r="A8" s="399" t="str">
        <f>Datos!A8</f>
        <v>Jurisdicción Civil ( 1 ):</v>
      </c>
      <c r="B8" s="452"/>
      <c r="C8" s="453"/>
      <c r="D8" s="453"/>
      <c r="E8" s="453"/>
      <c r="F8" s="454"/>
      <c r="G8" s="455"/>
      <c r="H8" s="441"/>
      <c r="I8" s="442"/>
      <c r="J8" s="443"/>
      <c r="K8" s="456"/>
    </row>
    <row r="9" spans="1:11">
      <c r="A9" s="405" t="str">
        <f>Datos!A9</f>
        <v xml:space="preserve">Jdos. 1ª Instancia   </v>
      </c>
      <c r="B9" s="458" t="str">
        <f>IF(ISNUMBER(
   IF(J_V="SI",(Datos!I9-Datos!S9)/Datos!S9,(Datos!I9+Datos!Y9-(Datos!S9+Datos!AG9))/(Datos!S9+Datos!AG9))
     ),IF(J_V="SI",(Datos!I9-Datos!S9)/Datos!S9,(Datos!I9+Datos!Y9-(Datos!S9+Datos!AG9))/(Datos!S9+Datos!AG9))," - ")</f>
        <v xml:space="preserve"> - </v>
      </c>
      <c r="C9" s="459" t="str">
        <f>IF(ISNUMBER(
   IF(J_V="SI",(Datos!J9-Datos!T9)/Datos!T9,(Datos!J9+Datos!Z9-(Datos!T9+Datos!AH9))/(Datos!T9+Datos!AH9))
     ),IF(J_V="SI",(Datos!J9-Datos!T9)/Datos!T9,(Datos!J9+Datos!Z9-(Datos!T9+Datos!AH9))/(Datos!T9+Datos!AH9))," - ")</f>
        <v xml:space="preserve"> - </v>
      </c>
      <c r="D9" s="459" t="str">
        <f>IF(ISNUMBER(
   IF(J_V="SI",(Datos!K9-Datos!U9)/Datos!U9,(Datos!K9+Datos!AA9-(Datos!U9+Datos!AI9))/(Datos!U9+Datos!AI9))
     ),IF(J_V="SI",(Datos!K9-Datos!U9)/Datos!U9,(Datos!K9+Datos!AA9-(Datos!U9+Datos!AI9))/(Datos!U9+Datos!AI9))," - ")</f>
        <v xml:space="preserve"> - </v>
      </c>
      <c r="E9" s="459" t="str">
        <f>IF(ISNUMBER(
   IF(J_V="SI",(Datos!L9-Datos!V9)/Datos!V9,(Datos!L9+Datos!AB9-(Datos!V9+Datos!AJ9))/(Datos!V9+Datos!AJ9))
     ),IF(J_V="SI",(Datos!L9-Datos!V9)/Datos!V9,(Datos!L9+Datos!AB9-(Datos!V9+Datos!AJ9))/(Datos!V9+Datos!AJ9))," - ")</f>
        <v xml:space="preserve"> - </v>
      </c>
      <c r="F9" s="459" t="str">
        <f>IF(ISNUMBER((Datos!M9-Datos!W9)/Datos!W9),(Datos!M9-Datos!W9)/Datos!W9," - ")</f>
        <v xml:space="preserve"> - </v>
      </c>
      <c r="G9" s="460" t="str">
        <f>IF(ISNUMBER((Datos!N9-Datos!X9)/Datos!X9),(Datos!N9-Datos!X9)/Datos!X9," - ")</f>
        <v xml:space="preserve"> - </v>
      </c>
      <c r="H9" s="458" t="str">
        <f>IF(ISNUMBER(((NºAsuntos!G9/NºAsuntos!E9)-Datos!BD9)/Datos!BD9),((NºAsuntos!G9/NºAsuntos!E9)-Datos!BD9)/Datos!BD9," - ")</f>
        <v xml:space="preserve"> - </v>
      </c>
      <c r="I9" s="459" t="str">
        <f>IF(ISNUMBER(((NºAsuntos!I9/NºAsuntos!G9)-Datos!BE9)/Datos!BE9),((NºAsuntos!I9/NºAsuntos!G9)-Datos!BE9)/Datos!BE9," - ")</f>
        <v xml:space="preserve"> - </v>
      </c>
      <c r="J9" s="464" t="str">
        <f>IF(ISNUMBER((('Resol  Asuntos'!D9/NºAsuntos!G9)-Datos!BF9)/Datos!BF9),(('Resol  Asuntos'!D9/NºAsuntos!G9)-Datos!BF9)/Datos!BF9," - ")</f>
        <v xml:space="preserve"> - </v>
      </c>
      <c r="K9" s="465" t="str">
        <f>IF(ISNUMBER((((NºAsuntos!C9+NºAsuntos!E9)/NºAsuntos!G9)-Datos!BG9)/Datos!BG9),(((NºAsuntos!C9+NºAsuntos!E9)/NºAsuntos!G9)-Datos!BG9)/Datos!BG9," - ")</f>
        <v xml:space="preserve"> - </v>
      </c>
    </row>
    <row r="10" spans="1:11">
      <c r="A10" s="405" t="str">
        <f>Datos!A10</f>
        <v>Jdos. Violencia contra la mujer</v>
      </c>
      <c r="B10" s="458" t="str">
        <f>IF(ISNUMBER((Datos!I10-Datos!S10)/Datos!S10),(Datos!I10-Datos!S10)/Datos!S10," - ")</f>
        <v xml:space="preserve"> - </v>
      </c>
      <c r="C10" s="459">
        <f>IF(ISNUMBER((Datos!J10-Datos!T10)/Datos!T10),(Datos!J10-Datos!T10)/Datos!T10," - ")</f>
        <v>-0.46153846153846156</v>
      </c>
      <c r="D10" s="459">
        <f>IF(ISNUMBER((Datos!K10-Datos!U10)/Datos!U10),(Datos!K10-Datos!U10)/Datos!U10," - ")</f>
        <v>1</v>
      </c>
      <c r="E10" s="459">
        <f>IF(ISNUMBER((Datos!L10-Datos!V10)/Datos!V10),(Datos!L10-Datos!V10)/Datos!V10," - ")</f>
        <v>-0.1111111111111111</v>
      </c>
      <c r="F10" s="459">
        <f>IF(ISNUMBER((Datos!M10-Datos!W10)/Datos!W10),(Datos!M10-Datos!W10)/Datos!W10," - ")</f>
        <v>0</v>
      </c>
      <c r="G10" s="460" t="str">
        <f>IF(ISNUMBER((Datos!N10-Datos!X10)/Datos!X10),(Datos!N10-Datos!X10)/Datos!X10," - ")</f>
        <v xml:space="preserve"> - </v>
      </c>
      <c r="H10" s="458">
        <f>IF(ISNUMBER(((NºAsuntos!G10/NºAsuntos!E10)-Datos!BD10)/Datos!BD10),((NºAsuntos!G10/NºAsuntos!E10)-Datos!BD10)/Datos!BD10," - ")</f>
        <v>2.714285714285714</v>
      </c>
      <c r="I10" s="459">
        <f>IF(ISNUMBER(((NºAsuntos!I10/NºAsuntos!G10)-Datos!BE10)/Datos!BE10),((NºAsuntos!I10/NºAsuntos!G10)-Datos!BE10)/Datos!BE10," - ")</f>
        <v>-0.55555555555555558</v>
      </c>
      <c r="J10" s="464">
        <f>IF(ISNUMBER((('Resol  Asuntos'!D10/NºAsuntos!G10)-Datos!BF10)/Datos!BF10),(('Resol  Asuntos'!D10/NºAsuntos!G10)-Datos!BF10)/Datos!BF10," - ")</f>
        <v>-0.5</v>
      </c>
      <c r="K10" s="465">
        <f>IF(ISNUMBER((((NºAsuntos!C10+NºAsuntos!E10)/NºAsuntos!G10)-Datos!BG10)/Datos!BG10),(((NºAsuntos!C10+NºAsuntos!E10)/NºAsuntos!G10)-Datos!BG10)/Datos!BG10," - ")</f>
        <v>-0.38461538461538464</v>
      </c>
    </row>
    <row r="11" spans="1:11">
      <c r="A11" s="405" t="str">
        <f>Datos!A11</f>
        <v xml:space="preserve">Jdos. Familia                                   </v>
      </c>
      <c r="B11" s="458" t="str">
        <f>IF(ISNUMBER(
   IF(J_V="SI",(Datos!I11-Datos!S11)/Datos!S11,(Datos!I11+Datos!Y11-(Datos!S11+Datos!AG11))/(Datos!S11+Datos!AG11))
     ),IF(J_V="SI",(Datos!I11-Datos!S11)/Datos!S11,(Datos!I11+Datos!Y11-(Datos!S11+Datos!AG11))/(Datos!S11+Datos!AG11))," - ")</f>
        <v xml:space="preserve"> - </v>
      </c>
      <c r="C11" s="459" t="str">
        <f>IF(ISNUMBER(
   IF(J_V="SI",(Datos!J11-Datos!T11)/Datos!T11,(Datos!J11+Datos!Z11-(Datos!T11+Datos!AH11))/(Datos!T11+Datos!AH11))
     ),IF(J_V="SI",(Datos!J11-Datos!T11)/Datos!T11,(Datos!J11+Datos!Z11-(Datos!T11+Datos!AH11))/(Datos!T11+Datos!AH11))," - ")</f>
        <v xml:space="preserve"> - </v>
      </c>
      <c r="D11" s="459" t="str">
        <f>IF(ISNUMBER(
   IF(J_V="SI",(Datos!K11-Datos!U11)/Datos!U11,(Datos!K11+Datos!AA11-(Datos!U11+Datos!AI11))/(Datos!U11+Datos!AI11))
     ),IF(J_V="SI",(Datos!K11-Datos!U11)/Datos!U11,(Datos!K11+Datos!AA11-(Datos!U11+Datos!AI11))/(Datos!U11+Datos!AI11))," - ")</f>
        <v xml:space="preserve"> - </v>
      </c>
      <c r="E11" s="459" t="str">
        <f>IF(ISNUMBER(
   IF(J_V="SI",(Datos!L11-Datos!V11)/Datos!V11,(Datos!L11+Datos!AB11-(Datos!V11+Datos!AJ11))/(Datos!V11+Datos!AJ11))
     ),IF(J_V="SI",(Datos!L11-Datos!V11)/Datos!V11,(Datos!L11+Datos!AB11-(Datos!V11+Datos!AJ11))/(Datos!V11+Datos!AJ11))," - ")</f>
        <v xml:space="preserve"> - </v>
      </c>
      <c r="F11" s="459" t="str">
        <f>IF(ISNUMBER((Datos!M11-Datos!W11)/Datos!W11),(Datos!M11-Datos!W11)/Datos!W11," - ")</f>
        <v xml:space="preserve"> - </v>
      </c>
      <c r="G11" s="460" t="str">
        <f>IF(ISNUMBER((Datos!N11-Datos!X11)/Datos!X11),(Datos!N11-Datos!X11)/Datos!X11," - ")</f>
        <v xml:space="preserve"> - </v>
      </c>
      <c r="H11" s="458" t="str">
        <f>IF(ISNUMBER(((NºAsuntos!G11/NºAsuntos!E11)-Datos!BD11)/Datos!BD11),((NºAsuntos!G11/NºAsuntos!E11)-Datos!BD11)/Datos!BD11," - ")</f>
        <v xml:space="preserve"> - </v>
      </c>
      <c r="I11" s="459" t="str">
        <f>IF(ISNUMBER(((NºAsuntos!I11/NºAsuntos!G11)-Datos!BE11)/Datos!BE11),((NºAsuntos!I11/NºAsuntos!G11)-Datos!BE11)/Datos!BE11," - ")</f>
        <v xml:space="preserve"> - </v>
      </c>
      <c r="J11" s="464" t="str">
        <f>IF(ISNUMBER((('Resol  Asuntos'!D11/NºAsuntos!G11)-Datos!BF11)/Datos!BF11),(('Resol  Asuntos'!D11/NºAsuntos!G11)-Datos!BF11)/Datos!BF11," - ")</f>
        <v xml:space="preserve"> - </v>
      </c>
      <c r="K11" s="465" t="str">
        <f>IF(ISNUMBER((((NºAsuntos!C11+NºAsuntos!E11)/NºAsuntos!G11)-Datos!BG11)/Datos!BG11),(((NºAsuntos!C11+NºAsuntos!E11)/NºAsuntos!G11)-Datos!BG11)/Datos!BG11," - ")</f>
        <v xml:space="preserve"> - </v>
      </c>
    </row>
    <row r="12" spans="1:11" ht="13.5" thickBot="1">
      <c r="A12" s="405" t="str">
        <f>Datos!A12</f>
        <v xml:space="preserve">Jdos. 1ª Instª. e Instr.                        </v>
      </c>
      <c r="B12" s="458">
        <f>IF(ISNUMBER(
   IF(J_V="SI",(Datos!I12-Datos!S12)/Datos!S12,(Datos!I12+Datos!Y12-(Datos!S12+Datos!AG12))/(Datos!S12+Datos!AG12))
     ),IF(J_V="SI",(Datos!I12-Datos!S12)/Datos!S12,(Datos!I12+Datos!Y12-(Datos!S12+Datos!AG12))/(Datos!S12+Datos!AG12))," - ")</f>
        <v>-7.0143884892086325E-2</v>
      </c>
      <c r="C12" s="459">
        <f>IF(ISNUMBER(
   IF(J_V="SI",(Datos!J12-Datos!T12)/Datos!T12,(Datos!J12+Datos!Z12-(Datos!T12+Datos!AH12))/(Datos!T12+Datos!AH12))
     ),IF(J_V="SI",(Datos!J12-Datos!T12)/Datos!T12,(Datos!J12+Datos!Z12-(Datos!T12+Datos!AH12))/(Datos!T12+Datos!AH12))," - ")</f>
        <v>-2.7497708524289641E-3</v>
      </c>
      <c r="D12" s="459">
        <f>IF(ISNUMBER(
   IF(J_V="SI",(Datos!K12-Datos!U12)/Datos!U12,(Datos!K12+Datos!AA12-(Datos!U12+Datos!AI12))/(Datos!U12+Datos!AI12))
     ),IF(J_V="SI",(Datos!K12-Datos!U12)/Datos!U12,(Datos!K12+Datos!AA12-(Datos!U12+Datos!AI12))/(Datos!U12+Datos!AI12))," - ")</f>
        <v>-0.20089686098654708</v>
      </c>
      <c r="E12" s="459">
        <f>IF(ISNUMBER(
   IF(J_V="SI",(Datos!L12-Datos!V12)/Datos!V12,(Datos!L12+Datos!AB12-(Datos!V12+Datos!AJ12))/(Datos!V12+Datos!AJ12))
     ),IF(J_V="SI",(Datos!L12-Datos!V12)/Datos!V12,(Datos!L12+Datos!AB12-(Datos!V12+Datos!AJ12))/(Datos!V12+Datos!AJ12))," - ")</f>
        <v>0.38104448742746616</v>
      </c>
      <c r="F12" s="459">
        <f>IF(ISNUMBER((Datos!M12-Datos!W12)/Datos!W12),(Datos!M12-Datos!W12)/Datos!W12," - ")</f>
        <v>-0.21262458471760798</v>
      </c>
      <c r="G12" s="460">
        <f>IF(ISNUMBER((Datos!N12-Datos!X12)/Datos!X12),(Datos!N12-Datos!X12)/Datos!X12," - ")</f>
        <v>-0.1437908496732026</v>
      </c>
      <c r="H12" s="458">
        <f>IF(ISNUMBER(((NºAsuntos!G12/NºAsuntos!E12)-Datos!BD12)/Datos!BD12),((NºAsuntos!G12/NºAsuntos!E12)-Datos!BD12)/Datos!BD12," - ")</f>
        <v>-0.19869345159588503</v>
      </c>
      <c r="I12" s="459">
        <f>IF(ISNUMBER(((NºAsuntos!I12/NºAsuntos!G12)-Datos!BE12)/Datos!BE12),((NºAsuntos!I12/NºAsuntos!G12)-Datos!BE12)/Datos!BE12," - ")</f>
        <v>0.72824310155064509</v>
      </c>
      <c r="J12" s="464">
        <f>IF(ISNUMBER((('Resol  Asuntos'!D12/NºAsuntos!G12)-Datos!BF12)/Datos!BF12),(('Resol  Asuntos'!D12/NºAsuntos!G12)-Datos!BF12)/Datos!BF12," - ")</f>
        <v>-0.35385078086603139</v>
      </c>
      <c r="K12" s="465">
        <f>IF(ISNUMBER((((NºAsuntos!C12+NºAsuntos!E12)/NºAsuntos!G12)-Datos!BG12)/Datos!BG12),(((NºAsuntos!C12+NºAsuntos!E12)/NºAsuntos!G12)-Datos!BG12)/Datos!BG12," - ")</f>
        <v>0.21949100394759161</v>
      </c>
    </row>
    <row r="13" spans="1:11" ht="14.25" thickTop="1" thickBot="1">
      <c r="A13" s="851" t="str">
        <f>Datos!A13</f>
        <v>TOTAL</v>
      </c>
      <c r="B13" s="857">
        <f>IF(ISNUMBER(
   IF(J_V="SI",(Datos!I13-Datos!S13)/Datos!S13,(Datos!I13+Datos!Y13-(Datos!S13+Datos!AG13))/(Datos!S13+Datos!AG13))
     ),IF(J_V="SI",(Datos!I13-Datos!S13)/Datos!S13,(Datos!I13+Datos!Y13-(Datos!S13+Datos!AG13))/(Datos!S13+Datos!AG13))," - ")</f>
        <v>-5.3956834532374098E-2</v>
      </c>
      <c r="C13" s="858">
        <f>IF(ISNUMBER(
   IF(J_V="SI",(Datos!J13-Datos!T13)/Datos!T13,(Datos!J13+Datos!Z13-(Datos!T13+Datos!AH13))/(Datos!T13+Datos!AH13))
     ),IF(J_V="SI",(Datos!J13-Datos!T13)/Datos!T13,(Datos!J13+Datos!Z13-(Datos!T13+Datos!AH13))/(Datos!T13+Datos!AH13))," - ")</f>
        <v>-8.152173913043478E-3</v>
      </c>
      <c r="D13" s="858">
        <f>IF(ISNUMBER(
   IF(J_V="SI",(Datos!K13-Datos!U13)/Datos!U13,(Datos!K13+Datos!AA13-(Datos!U13+Datos!AI13))/(Datos!U13+Datos!AI13))
     ),IF(J_V="SI",(Datos!K13-Datos!U13)/Datos!U13,(Datos!K13+Datos!AA13-(Datos!U13+Datos!AI13))/(Datos!U13+Datos!AI13))," - ")</f>
        <v>-0.1966041108132261</v>
      </c>
      <c r="E13" s="858">
        <f>IF(ISNUMBER(
   IF(J_V="SI",(Datos!L13-Datos!V13)/Datos!V13,(Datos!L13+Datos!AB13-(Datos!V13+Datos!AJ13))/(Datos!V13+Datos!AJ13))
     ),IF(J_V="SI",(Datos!L13-Datos!V13)/Datos!V13,(Datos!L13+Datos!AB13-(Datos!V13+Datos!AJ13))/(Datos!V13+Datos!AJ13))," - ")</f>
        <v>0.37262357414448671</v>
      </c>
      <c r="F13" s="859">
        <f>IF(ISNUMBER((Datos!M13-Datos!W13)/Datos!W13),(Datos!M13-Datos!W13)/Datos!W13," - ")</f>
        <v>-0.20983606557377049</v>
      </c>
      <c r="G13" s="860">
        <f>IF(ISNUMBER((Datos!N13-Datos!X13)/Datos!X13),(Datos!N13-Datos!X13)/Datos!X13," - ")</f>
        <v>-0.13507625272331156</v>
      </c>
      <c r="H13" s="860">
        <f>IF(ISNUMBER(((NºAsuntos!G13/NºAsuntos!E13)-Datos!BD13)/Datos!BD13),((NºAsuntos!G13/NºAsuntos!E13)-Datos!BD13)/Datos!BD13," - ")</f>
        <v>-0.19000085692949906</v>
      </c>
      <c r="I13" s="860">
        <f>IF(ISNUMBER(((NºAsuntos!I13/NºAsuntos!G13)-Datos!BE13)/Datos!BE13),((NºAsuntos!I13/NºAsuntos!G13)-Datos!BE13)/Datos!BE13," - ")</f>
        <v>0.7085270071943055</v>
      </c>
      <c r="J13" s="860">
        <f>IF(ISNUMBER((('Resol  Asuntos'!D13/NºAsuntos!G13)-Datos!BF13)/Datos!BF13),(('Resol  Asuntos'!D13/NºAsuntos!G13)-Datos!BF13)/Datos!BF13," - ")</f>
        <v>-0.35210228787926107</v>
      </c>
      <c r="K13" s="860">
        <f>IF(ISNUMBER((((NºAsuntos!C13+NºAsuntos!E13)/NºAsuntos!G13)-Datos!BG13)/Datos!BG13),(((NºAsuntos!C13+NºAsuntos!E13)/NºAsuntos!G13)-Datos!BG13)/Datos!BG13," - ")</f>
        <v>0.21547301553265333</v>
      </c>
    </row>
    <row r="14" spans="1:11" ht="13.5" thickTop="1">
      <c r="A14" s="399" t="str">
        <f>Datos!A14</f>
        <v xml:space="preserve">Jurisdicción Penal ( 2 ):                      </v>
      </c>
      <c r="B14" s="461"/>
      <c r="C14" s="462"/>
      <c r="D14" s="462"/>
      <c r="E14" s="462"/>
      <c r="F14" s="462"/>
      <c r="G14" s="463"/>
      <c r="H14" s="458"/>
      <c r="I14" s="459"/>
      <c r="J14" s="464"/>
      <c r="K14" s="465"/>
    </row>
    <row r="15" spans="1:11">
      <c r="A15" s="405" t="str">
        <f>Datos!A15</f>
        <v xml:space="preserve">Jdos. Instrucción                               </v>
      </c>
      <c r="B15" s="458" t="str">
        <f>IF(ISNUMBER(
   IF(D_I="SI",(Datos!I15-Datos!S15)/Datos!S15,(Datos!I15+Datos!AC15-(Datos!S15+Datos!AK15))/(Datos!S15+Datos!AK15))
     ),IF(D_I="SI",(Datos!I15-Datos!S15)/Datos!S15,(Datos!I15+Datos!AC15-(Datos!S15+Datos!AK15))/(Datos!S15+Datos!AK15))," - ")</f>
        <v xml:space="preserve"> - </v>
      </c>
      <c r="C15" s="459" t="str">
        <f>IF(ISNUMBER(
   IF(D_I="SI",(Datos!J15-Datos!T15)/Datos!T15,(Datos!J15+Datos!AD15-(Datos!T15+Datos!AL15))/(Datos!T15+Datos!AL15))
     ),IF(D_I="SI",(Datos!J15-Datos!T15)/Datos!T15,(Datos!J15+Datos!AD15-(Datos!T15+Datos!AL15))/(Datos!T15+Datos!AL15))," - ")</f>
        <v xml:space="preserve"> - </v>
      </c>
      <c r="D15" s="459" t="str">
        <f>IF(ISNUMBER(
   IF(D_I="SI",(Datos!K15-Datos!U15)/Datos!U15,(Datos!K15+Datos!AE15-(Datos!U15+Datos!AM15))/(Datos!U15+Datos!AM15))
     ),IF(D_I="SI",(Datos!K15-Datos!U15)/Datos!U15,(Datos!K15+Datos!AE15-(Datos!U15+Datos!AM15))/(Datos!U15+Datos!AM15))," - ")</f>
        <v xml:space="preserve"> - </v>
      </c>
      <c r="E15" s="459" t="str">
        <f>IF(ISNUMBER(
   IF(D_I="SI",(Datos!L15-Datos!V15)/Datos!V15,(Datos!L15+Datos!AF15-(Datos!V15+Datos!AN15))/(Datos!V15+Datos!AN15))
     ),IF(D_I="SI",(Datos!L15-Datos!V15)/Datos!V15,(Datos!L15+Datos!AF15-(Datos!V15+Datos!AN15))/(Datos!V15+Datos!AN15))," - ")</f>
        <v xml:space="preserve"> - </v>
      </c>
      <c r="F15" s="459" t="str">
        <f>IF(ISNUMBER((Datos!M15-Datos!W15)/Datos!W15),(Datos!M15-Datos!W15)/Datos!W15," - ")</f>
        <v xml:space="preserve"> - </v>
      </c>
      <c r="G15" s="460" t="str">
        <f>IF(ISNUMBER((Datos!N15-Datos!X15)/Datos!X15),(Datos!N15-Datos!X15)/Datos!X15," - ")</f>
        <v xml:space="preserve"> - </v>
      </c>
      <c r="H15" s="458" t="str">
        <f>IF(ISNUMBER(((NºAsuntos!G15/NºAsuntos!E15)-Datos!BD15)/Datos!BD15),((NºAsuntos!G15/NºAsuntos!E15)-Datos!BD15)/Datos!BD15," - ")</f>
        <v xml:space="preserve"> - </v>
      </c>
      <c r="I15" s="459" t="str">
        <f>IF(ISNUMBER(((NºAsuntos!I15/NºAsuntos!G15)-Datos!BE15)/Datos!BE15),((NºAsuntos!I15/NºAsuntos!G15)-Datos!BE15)/Datos!BE15," - ")</f>
        <v xml:space="preserve"> - </v>
      </c>
      <c r="J15" s="464" t="str">
        <f>IF(ISNUMBER((('Resol  Asuntos'!D15/NºAsuntos!G15)-Datos!BF15)/Datos!BF15),(('Resol  Asuntos'!D15/NºAsuntos!G15)-Datos!BF15)/Datos!BF15," - ")</f>
        <v xml:space="preserve"> - </v>
      </c>
      <c r="K15" s="465" t="str">
        <f>IF(ISNUMBER((((NºAsuntos!C15+NºAsuntos!E15)/NºAsuntos!G15)-Datos!BG15)/Datos!BG15),(((NºAsuntos!C15+NºAsuntos!E15)/NºAsuntos!G15)-Datos!BG15)/Datos!BG15," - ")</f>
        <v xml:space="preserve"> - </v>
      </c>
    </row>
    <row r="16" spans="1:11">
      <c r="A16" s="405" t="str">
        <f>Datos!A16</f>
        <v xml:space="preserve">Jdos. 1ª Instª. e Instr.                        </v>
      </c>
      <c r="B16" s="458">
        <f>IF(ISNUMBER(
   IF(D_I="SI",(Datos!I16-Datos!S16)/Datos!S16,(Datos!I16+Datos!AC16-(Datos!S16+Datos!AK16))/(Datos!S16+Datos!AK16))
     ),IF(D_I="SI",(Datos!I16-Datos!S16)/Datos!S16,(Datos!I16+Datos!AC16-(Datos!S16+Datos!AK16))/(Datos!S16+Datos!AK16))," - ")</f>
        <v>0.1043956043956044</v>
      </c>
      <c r="C16" s="459">
        <f>IF(ISNUMBER(
   IF(D_I="SI",(Datos!J16-Datos!T16)/Datos!T16,(Datos!J16+Datos!AD16-(Datos!T16+Datos!AL16))/(Datos!T16+Datos!AL16))
     ),IF(D_I="SI",(Datos!J16-Datos!T16)/Datos!T16,(Datos!J16+Datos!AD16-(Datos!T16+Datos!AL16))/(Datos!T16+Datos!AL16))," - ")</f>
        <v>0.16645962732919253</v>
      </c>
      <c r="D16" s="459">
        <f>IF(ISNUMBER(
   IF(D_I="SI",(Datos!K16-Datos!U16)/Datos!U16,(Datos!K16+Datos!AE16-(Datos!U16+Datos!AM16))/(Datos!U16+Datos!AM16))
     ),IF(D_I="SI",(Datos!K16-Datos!U16)/Datos!U16,(Datos!K16+Datos!AE16-(Datos!U16+Datos!AM16))/(Datos!U16+Datos!AM16))," - ")</f>
        <v>0.1207115628970775</v>
      </c>
      <c r="E16" s="459">
        <f>IF(ISNUMBER(
   IF(D_I="SI",(Datos!L16-Datos!V16)/Datos!V16,(Datos!L16+Datos!AF16-(Datos!V16+Datos!AN16))/(Datos!V16+Datos!AN16))
     ),IF(D_I="SI",(Datos!L16-Datos!V16)/Datos!V16,(Datos!L16+Datos!AF16-(Datos!V16+Datos!AN16))/(Datos!V16+Datos!AN16))," - ")</f>
        <v>0.30845771144278605</v>
      </c>
      <c r="F16" s="459">
        <f>IF(ISNUMBER((Datos!M16-Datos!W16)/Datos!W16),(Datos!M16-Datos!W16)/Datos!W16," - ")</f>
        <v>-5.5118110236220472E-2</v>
      </c>
      <c r="G16" s="460">
        <f>IF(ISNUMBER((Datos!N16-Datos!X16)/Datos!X16),(Datos!N16-Datos!X16)/Datos!X16," - ")</f>
        <v>0.16816143497757849</v>
      </c>
      <c r="H16" s="458">
        <f>IF(ISNUMBER(((NºAsuntos!G16/NºAsuntos!E16)-Datos!BD16)/Datos!BD16),((NºAsuntos!G16/NºAsuntos!E16)-Datos!BD16)/Datos!BD16," - ")</f>
        <v>-3.9219586653730154E-2</v>
      </c>
      <c r="I16" s="459">
        <f>IF(ISNUMBER(((NºAsuntos!I16/NºAsuntos!G16)-Datos!BE16)/Datos!BE16),((NºAsuntos!I16/NºAsuntos!G16)-Datos!BE16)/Datos!BE16," - ")</f>
        <v>0.1675240577159553</v>
      </c>
      <c r="J16" s="464">
        <f>IF(ISNUMBER((('Resol  Asuntos'!D16/NºAsuntos!G16)-Datos!BF16)/Datos!BF16),(('Resol  Asuntos'!D16/NºAsuntos!G16)-Datos!BF16)/Datos!BF16," - ")</f>
        <v>-0.15689110289785196</v>
      </c>
      <c r="K16" s="465">
        <f>IF(ISNUMBER((((NºAsuntos!C16+NºAsuntos!E16)/NºAsuntos!G16)-Datos!BG16)/Datos!BG16),(((NºAsuntos!C16+NºAsuntos!E16)/NºAsuntos!G16)-Datos!BG16)/Datos!BG16," - ")</f>
        <v>3.0608798737326859E-2</v>
      </c>
    </row>
    <row r="17" spans="1:12" ht="13.5" thickBot="1">
      <c r="A17" s="405" t="str">
        <f>Datos!A17</f>
        <v>Jdos. Violencia contra la mujer</v>
      </c>
      <c r="B17" s="458">
        <f>IF(ISNUMBER(
   IF(D_I="SI",(Datos!I17-Datos!S17)/Datos!S17,(Datos!I17+Datos!AC17-(Datos!S17+Datos!AK17))/(Datos!S17+Datos!AK17))
     ),IF(D_I="SI",(Datos!I17-Datos!S17)/Datos!S17,(Datos!I17+Datos!AC17-(Datos!S17+Datos!AK17))/(Datos!S17+Datos!AK17))," - ")</f>
        <v>-0.44444444444444442</v>
      </c>
      <c r="C17" s="459">
        <f>IF(ISNUMBER(
   IF(D_I="SI",(Datos!J17-Datos!T17)/Datos!T17,(Datos!J17+Datos!AD17-(Datos!T17+Datos!AL17))/(Datos!T17+Datos!AL17))
     ),IF(D_I="SI",(Datos!J17-Datos!T17)/Datos!T17,(Datos!J17+Datos!AD17-(Datos!T17+Datos!AL17))/(Datos!T17+Datos!AL17))," - ")</f>
        <v>0.61194029850746268</v>
      </c>
      <c r="D17" s="459">
        <f>IF(ISNUMBER(
   IF(D_I="SI",(Datos!K17-Datos!U17)/Datos!U17,(Datos!K17+Datos!AE17-(Datos!U17+Datos!AM17))/(Datos!U17+Datos!AM17))
     ),IF(D_I="SI",(Datos!K17-Datos!U17)/Datos!U17,(Datos!K17+Datos!AE17-(Datos!U17+Datos!AM17))/(Datos!U17+Datos!AM17))," - ")</f>
        <v>0.40540540540540543</v>
      </c>
      <c r="E17" s="459">
        <f>IF(ISNUMBER(
   IF(D_I="SI",(Datos!L17-Datos!V17)/Datos!V17,(Datos!L17+Datos!AF17-(Datos!V17+Datos!AN17))/(Datos!V17+Datos!AN17))
     ),IF(D_I="SI",(Datos!L17-Datos!V17)/Datos!V17,(Datos!L17+Datos!AF17-(Datos!V17+Datos!AN17))/(Datos!V17+Datos!AN17))," - ")</f>
        <v>0.4</v>
      </c>
      <c r="F17" s="459">
        <f>IF(ISNUMBER((Datos!M17-Datos!W17)/Datos!W17),(Datos!M17-Datos!W17)/Datos!W17," - ")</f>
        <v>2.5714285714285716</v>
      </c>
      <c r="G17" s="460">
        <f>IF(ISNUMBER((Datos!N17-Datos!X17)/Datos!X17),(Datos!N17-Datos!X17)/Datos!X17," - ")</f>
        <v>0.3</v>
      </c>
      <c r="H17" s="458">
        <f>IF(ISNUMBER(((NºAsuntos!G17/NºAsuntos!E17)-Datos!BD17)/Datos!BD17),((NºAsuntos!G17/NºAsuntos!E17)-Datos!BD17)/Datos!BD17," - ")</f>
        <v>-0.12812812812812824</v>
      </c>
      <c r="I17" s="459">
        <f>IF(ISNUMBER(((NºAsuntos!I17/NºAsuntos!G17)-Datos!BE17)/Datos!BE17),((NºAsuntos!I17/NºAsuntos!G17)-Datos!BE17)/Datos!BE17," - ")</f>
        <v>-3.8461538461539487E-3</v>
      </c>
      <c r="J17" s="464">
        <f>IF(ISNUMBER((('Resol  Asuntos'!D17/NºAsuntos!G17)-Datos!BF17)/Datos!BF17),(('Resol  Asuntos'!D17/NºAsuntos!G17)-Datos!BF17)/Datos!BF17," - ")</f>
        <v>1.5412087912087911</v>
      </c>
      <c r="K17" s="465">
        <f>IF(ISNUMBER((((NºAsuntos!C17+NºAsuntos!E17)/NºAsuntos!G17)-Datos!BG17)/Datos!BG17),(((NºAsuntos!C17+NºAsuntos!E17)/NºAsuntos!G17)-Datos!BG17)/Datos!BG17," - ")</f>
        <v>-1.2217194570135807E-2</v>
      </c>
    </row>
    <row r="18" spans="1:12" ht="14.25" thickTop="1" thickBot="1">
      <c r="A18" s="851" t="str">
        <f>Datos!A18</f>
        <v>TOTAL</v>
      </c>
      <c r="B18" s="857">
        <f>IF(ISNUMBER(
   IF(Criterios!B14="SI",(Datos!I18-Datos!S18)/Datos!S18,(Datos!I18+Datos!AC18-(Datos!S18+Datos!AK18))/(Datos!S18+Datos!AK18))
     ),IF(Criterios!B14="SI",(Datos!I18-Datos!S18)/Datos!S18,(Datos!I18+Datos!AC18-(Datos!S18+Datos!AK18))/(Datos!S18+Datos!AK18))," - ")</f>
        <v>5.5E-2</v>
      </c>
      <c r="C18" s="858">
        <f>IF(ISNUMBER(
   IF(Criterios!B14="SI",(Datos!J18-Datos!T18)/Datos!T18,(Datos!J18+Datos!AD18-(Datos!T18+Datos!AL18))/(Datos!T18+Datos!AL18))
     ),IF(Criterios!B14="SI",(Datos!J18-Datos!T18)/Datos!T18,(Datos!J18+Datos!AD18-(Datos!T18+Datos!AL18))/(Datos!T18+Datos!AL18))," - ")</f>
        <v>0.2006880733944954</v>
      </c>
      <c r="D18" s="858">
        <f>IF(ISNUMBER(
   IF(Criterios!B14="SI",(Datos!K18-Datos!U18)/Datos!U18,(Datos!K18+Datos!AE18-(Datos!U18+Datos!AM18))/(Datos!U18+Datos!AM18))
     ),IF(Criterios!B14="SI",(Datos!K18-Datos!U18)/Datos!U18,(Datos!K18+Datos!AE18-(Datos!U18+Datos!AM18))/(Datos!U18+Datos!AM18))," - ")</f>
        <v>0.14518002322880372</v>
      </c>
      <c r="E18" s="858">
        <f>IF(ISNUMBER(
   IF(Criterios!B14="SI",(Datos!L18-Datos!V18)/Datos!V18,(Datos!L18+Datos!AF18-(Datos!V18+Datos!AN18))/(Datos!V18+Datos!AN18))
     ),IF(Criterios!B14="SI",(Datos!L18-Datos!V18)/Datos!V18,(Datos!L18+Datos!AF18-(Datos!V18+Datos!AN18))/(Datos!V18+Datos!AN18))," - ")</f>
        <v>0.3127962085308057</v>
      </c>
      <c r="F18" s="859">
        <f>IF(ISNUMBER((Datos!M18-Datos!W18)/Datos!W18),(Datos!M18-Datos!W18)/Datos!W18," - ")</f>
        <v>8.2089552238805971E-2</v>
      </c>
      <c r="G18" s="860">
        <f>IF(ISNUMBER((Datos!N18-Datos!X18)/Datos!X18),(Datos!N18-Datos!X18)/Datos!X18," - ")</f>
        <v>0.18145161290322581</v>
      </c>
      <c r="H18" s="860">
        <f>IF(ISNUMBER(((NºAsuntos!G18/NºAsuntos!E18)-Datos!BD18)/Datos!BD18),((NºAsuntos!G18/NºAsuntos!E18)-Datos!BD18)/Datos!BD18," - ")</f>
        <v>-4.6230200329019332E-2</v>
      </c>
      <c r="I18" s="860">
        <f>IF(ISNUMBER(((NºAsuntos!I18/NºAsuntos!G18)-Datos!BE18)/Datos!BE18),((NºAsuntos!I18/NºAsuntos!G18)-Datos!BE18)/Datos!BE18," - ")</f>
        <v>0.1463666689097603</v>
      </c>
      <c r="J18" s="860">
        <f>IF(ISNUMBER((('Resol  Asuntos'!D18/NºAsuntos!G18)-Datos!BF18)/Datos!BF18),(('Resol  Asuntos'!D18/NºAsuntos!G18)-Datos!BF18)/Datos!BF18," - ")</f>
        <v>-5.509218612818257E-2</v>
      </c>
      <c r="K18" s="860">
        <f>IF(ISNUMBER((((NºAsuntos!C18+NºAsuntos!E18)/NºAsuntos!G18)-Datos!BG18)/Datos!BG18),(((NºAsuntos!C18+NºAsuntos!E18)/NºAsuntos!G18)-Datos!BG18)/Datos!BG18," - ")</f>
        <v>2.4736232629953777E-2</v>
      </c>
    </row>
    <row r="19" spans="1:12" ht="15.75" customHeight="1" thickTop="1" thickBot="1">
      <c r="A19" s="796" t="str">
        <f>Datos!A19</f>
        <v>TOTAL JURISDICCIONES</v>
      </c>
      <c r="B19" s="804">
        <f>IF(ISNUMBER(
   IF(J_V="SI",(Datos!I19-Datos!S19)/Datos!S19,(Datos!I19+Datos!Y19-(Datos!S19+Datos!AG19))/(Datos!S19+Datos!AG19))
     ),IF(J_V="SI",(Datos!I19-Datos!S19)/Datos!S19,(Datos!I19+Datos!Y19-(Datos!S19+Datos!AG19))/(Datos!S19+Datos!AG19))," - ")</f>
        <v>-2.5132275132275131E-2</v>
      </c>
      <c r="C19" s="805">
        <f>IF(ISNUMBER(
   IF(J_V="SI",(Datos!J19-Datos!T19)/Datos!T19,(Datos!J19+Datos!Z19-(Datos!T19+Datos!AH19))/(Datos!T19+Datos!AH19))
     ),IF(J_V="SI",(Datos!J19-Datos!T19)/Datos!T19,(Datos!J19+Datos!Z19-(Datos!T19+Datos!AH19))/(Datos!T19+Datos!AH19))," - ")</f>
        <v>8.4008097165991905E-2</v>
      </c>
      <c r="D19" s="805">
        <f>IF(ISNUMBER(
   IF(J_V="SI",(Datos!K19-Datos!U19)/Datos!U19,(Datos!K19+Datos!AA19-(Datos!U19+Datos!AI19))/(Datos!U19+Datos!AI19))
     ),IF(J_V="SI",(Datos!K19-Datos!U19)/Datos!U19,(Datos!K19+Datos!AA19-(Datos!U19+Datos!AI19))/(Datos!U19+Datos!AI19))," - ")</f>
        <v>-4.7979797979797977E-2</v>
      </c>
      <c r="E19" s="805">
        <f>IF(ISNUMBER(
   IF(J_V="SI",(Datos!L19-Datos!V19)/Datos!V19,(Datos!L19+Datos!AB19-(Datos!V19+Datos!AJ19))/(Datos!V19+Datos!AJ19))
     ),IF(J_V="SI",(Datos!L19-Datos!V19)/Datos!V19,(Datos!L19+Datos!AB19-(Datos!V19+Datos!AJ19))/(Datos!V19+Datos!AJ19))," - ")</f>
        <v>0.35549525101763907</v>
      </c>
      <c r="F19" s="806">
        <f>IF(ISNUMBER((Datos!M19-Datos!W19)/Datos!W19),(Datos!M19-Datos!W19)/Datos!W19," - ")</f>
        <v>-0.12072892938496584</v>
      </c>
      <c r="G19" s="807">
        <f>IF(ISNUMBER((Datos!N19-Datos!X19)/Datos!X19),(Datos!N19-Datos!X19)/Datos!X19," - ")</f>
        <v>2.9319371727748691E-2</v>
      </c>
      <c r="H19" s="808">
        <f>IF(ISNUMBER((Tasas!B19-Datos!BD19)/Datos!BD19),(Tasas!B19-Datos!BD19)/Datos!BD19," - ")</f>
        <v>-0.12175914136698458</v>
      </c>
      <c r="I19" s="809">
        <f>IF(ISNUMBER((Tasas!C19-Datos!BE19)/Datos!BE19),(Tasas!C19-Datos!BE19)/Datos!BE19," - ")</f>
        <v>0.42380933528643261</v>
      </c>
      <c r="J19" s="810">
        <f>IF(ISNUMBER((Tasas!D19-Datos!BF19)/Datos!BF19),(Tasas!D19-Datos!BF19)/Datos!BF19," - ")</f>
        <v>-0.32084827319621989</v>
      </c>
      <c r="K19" s="810">
        <f>IF(ISNUMBER((Tasas!E19-Datos!BG19)/Datos!BG19),(Tasas!E19-Datos!BG19)/Datos!BG19," - ")</f>
        <v>0.10691635824164727</v>
      </c>
    </row>
    <row r="20" spans="1:12">
      <c r="A20" s="414"/>
      <c r="B20" s="414"/>
      <c r="C20" s="414"/>
      <c r="D20" s="414"/>
      <c r="E20" s="414"/>
    </row>
    <row r="21" spans="1:12" ht="70.5" customHeight="1">
      <c r="A21" s="1219" t="s">
        <v>152</v>
      </c>
      <c r="B21" s="1219"/>
      <c r="C21" s="1219"/>
      <c r="D21" s="1219"/>
      <c r="E21" s="1219"/>
      <c r="F21" s="1219"/>
      <c r="G21" s="1219"/>
      <c r="H21" s="1219"/>
      <c r="I21" s="1219"/>
      <c r="J21" s="1219"/>
      <c r="K21" s="1219"/>
    </row>
    <row r="22" spans="1:12">
      <c r="A22" s="1218"/>
      <c r="B22" s="1218"/>
      <c r="C22" s="416"/>
      <c r="D22" s="416"/>
      <c r="E22" s="416"/>
    </row>
    <row r="23" spans="1:12">
      <c r="A23" s="394" t="str">
        <f>Criterios!A4</f>
        <v>Fecha Informe: 03 may. 2024</v>
      </c>
    </row>
    <row r="26" spans="1:12" ht="12.75" customHeight="1">
      <c r="A26" s="457"/>
      <c r="B26" s="457"/>
      <c r="C26" s="457"/>
      <c r="D26" s="457"/>
      <c r="E26" s="457"/>
      <c r="F26" s="457"/>
      <c r="G26" s="457"/>
      <c r="H26" s="457"/>
      <c r="I26" s="457"/>
      <c r="J26" s="457"/>
      <c r="K26" s="457"/>
      <c r="L26" s="457"/>
    </row>
    <row r="27" spans="1:12" ht="12.75" customHeight="1">
      <c r="A27" s="457"/>
      <c r="B27" s="457"/>
      <c r="C27" s="457"/>
      <c r="D27" s="457"/>
      <c r="E27" s="457"/>
      <c r="F27" s="457"/>
      <c r="G27" s="457"/>
      <c r="H27" s="457"/>
      <c r="I27" s="457"/>
      <c r="J27" s="457"/>
      <c r="K27" s="457"/>
      <c r="L27" s="457"/>
    </row>
    <row r="28" spans="1:12" ht="12.75" customHeight="1">
      <c r="A28" s="457"/>
      <c r="B28" s="457"/>
      <c r="C28" s="457"/>
      <c r="D28" s="457"/>
      <c r="E28" s="457"/>
      <c r="F28" s="457"/>
      <c r="G28" s="457"/>
      <c r="H28" s="457"/>
      <c r="I28" s="457"/>
      <c r="J28" s="457"/>
      <c r="K28" s="457"/>
      <c r="L28" s="457"/>
    </row>
    <row r="29" spans="1:12" ht="12.75" customHeight="1">
      <c r="A29" s="457"/>
      <c r="B29" s="457"/>
      <c r="C29" s="457"/>
      <c r="D29" s="457"/>
      <c r="E29" s="457"/>
      <c r="F29" s="457"/>
      <c r="G29" s="457"/>
      <c r="H29" s="457"/>
      <c r="I29" s="457"/>
      <c r="J29" s="457"/>
      <c r="K29" s="457"/>
      <c r="L29" s="457"/>
    </row>
  </sheetData>
  <sheetProtection algorithmName="SHA-512" hashValue="YHgU05AzjrttKd5QpI9jv3zixxL1g3/+PhKlJra/SYZGTnuvArUfbDnKcES+7Z/1Vk8+XueoEB1dFx87f2KJVg==" saltValue="uJ/E7Dy48vsKf/nQATcc2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5" customWidth="1"/>
    <col min="2" max="2" width="12.7109375" style="375" bestFit="1" customWidth="1"/>
    <col min="3" max="4" width="12.28515625" style="375" customWidth="1"/>
    <col min="5" max="5" width="12.7109375" style="375" bestFit="1" customWidth="1"/>
    <col min="6" max="6" width="11.42578125" style="375"/>
    <col min="7" max="7" width="77.85546875" style="375" customWidth="1"/>
    <col min="8" max="16384" width="11.42578125" style="375"/>
  </cols>
  <sheetData>
    <row r="1" spans="1:7" ht="105" customHeight="1"/>
    <row r="2" spans="1:7" ht="42.75" customHeight="1">
      <c r="B2" s="392" t="str">
        <f>Criterios!A9 &amp;"  "&amp;Criterios!B9</f>
        <v>Tribunales de Justicia  ASTURIAS</v>
      </c>
    </row>
    <row r="3" spans="1:7" ht="19.5">
      <c r="A3" s="439" t="s">
        <v>12</v>
      </c>
      <c r="B3" s="394" t="str">
        <f>Criterios!A10 &amp;"  "&amp;Criterios!B10</f>
        <v>Provincias  ASTURIAS</v>
      </c>
    </row>
    <row r="4" spans="1:7" ht="11.25" customHeight="1" thickBot="1">
      <c r="B4" s="394" t="str">
        <f>Criterios!A11 &amp;"  "&amp;Criterios!B11</f>
        <v>Resumenes por Partidos Judiciales  LENA</v>
      </c>
    </row>
    <row r="5" spans="1:7" ht="12.75" customHeight="1">
      <c r="A5" s="1201" t="str">
        <f>"Año:  " &amp;Criterios!B5 &amp; "    Trimestre   " &amp;Criterios!D5 &amp; " al " &amp;Criterios!D6</f>
        <v>Año:  2023    Trimestre   1 al 4</v>
      </c>
      <c r="B5" s="1195" t="s">
        <v>95</v>
      </c>
      <c r="C5" s="1195" t="s">
        <v>96</v>
      </c>
      <c r="D5" s="1195" t="s">
        <v>97</v>
      </c>
      <c r="E5" s="1195" t="s">
        <v>98</v>
      </c>
      <c r="G5" s="466"/>
    </row>
    <row r="6" spans="1:7" ht="12.75" customHeight="1">
      <c r="A6" s="1202"/>
      <c r="B6" s="1231"/>
      <c r="C6" s="1231"/>
      <c r="D6" s="1231"/>
      <c r="E6" s="1231"/>
      <c r="G6" s="466"/>
    </row>
    <row r="7" spans="1:7" ht="30.75" customHeight="1" thickBot="1">
      <c r="A7" s="440" t="str">
        <f>Datos!A7</f>
        <v>COMPETENCIAS</v>
      </c>
      <c r="B7" s="1232"/>
      <c r="C7" s="1232"/>
      <c r="D7" s="1232"/>
      <c r="E7" s="1232"/>
      <c r="G7" s="466"/>
    </row>
    <row r="8" spans="1:7">
      <c r="A8" s="399" t="str">
        <f>Datos!A8</f>
        <v>Jurisdicción Civil ( 1 ):</v>
      </c>
      <c r="B8" s="441"/>
      <c r="C8" s="442"/>
      <c r="D8" s="443"/>
      <c r="E8" s="444"/>
      <c r="G8" s="466"/>
    </row>
    <row r="9" spans="1:7" ht="14.25" customHeight="1">
      <c r="A9" s="405" t="str">
        <f>Datos!A9</f>
        <v xml:space="preserve">Jdos. 1ª Instancia   </v>
      </c>
      <c r="B9" s="445" t="str">
        <f>IF(ISNUMBER(NºAsuntos!G9/NºAsuntos!E9),NºAsuntos!G9/NºAsuntos!E9," - ")</f>
        <v xml:space="preserve"> - </v>
      </c>
      <c r="C9" s="446" t="str">
        <f>IF(ISNUMBER(NºAsuntos!I9/NºAsuntos!G9),NºAsuntos!I9/NºAsuntos!G9," - ")</f>
        <v xml:space="preserve"> - </v>
      </c>
      <c r="D9" s="447" t="str">
        <f>IF(ISNUMBER('Resol  Asuntos'!D9/NºAsuntos!G9),'Resol  Asuntos'!D9/NºAsuntos!G9," - ")</f>
        <v xml:space="preserve"> - </v>
      </c>
      <c r="E9" s="448" t="str">
        <f>IF(ISNUMBER((NºAsuntos!C9+NºAsuntos!E9)/NºAsuntos!G9),(NºAsuntos!C9+NºAsuntos!E9)/NºAsuntos!G9," - ")</f>
        <v xml:space="preserve"> - </v>
      </c>
      <c r="G9" s="466"/>
    </row>
    <row r="10" spans="1:7">
      <c r="A10" s="405" t="str">
        <f>Datos!A10</f>
        <v>Jdos. Violencia contra la mujer</v>
      </c>
      <c r="B10" s="445">
        <f>IF(ISNUMBER(NºAsuntos!G10/NºAsuntos!E10),NºAsuntos!G10/NºAsuntos!E10," - ")</f>
        <v>1.1428571428571428</v>
      </c>
      <c r="C10" s="446">
        <f>IF(ISNUMBER(NºAsuntos!I10/NºAsuntos!G10),NºAsuntos!I10/NºAsuntos!G10," - ")</f>
        <v>1</v>
      </c>
      <c r="D10" s="447">
        <f>IF(ISNUMBER('Resol  Asuntos'!D10/NºAsuntos!G10),'Resol  Asuntos'!D10/NºAsuntos!G10," - ")</f>
        <v>0.5</v>
      </c>
      <c r="E10" s="448">
        <f>IF(ISNUMBER((NºAsuntos!C10+NºAsuntos!E10)/NºAsuntos!G10),(NºAsuntos!C10+NºAsuntos!E10)/NºAsuntos!G10," - ")</f>
        <v>2</v>
      </c>
      <c r="G10" s="466"/>
    </row>
    <row r="11" spans="1:7">
      <c r="A11" s="405" t="str">
        <f>Datos!A11</f>
        <v xml:space="preserve">Jdos. Familia                                   </v>
      </c>
      <c r="B11" s="445" t="str">
        <f>IF(ISNUMBER(NºAsuntos!G11/NºAsuntos!E11),NºAsuntos!G11/NºAsuntos!E11," - ")</f>
        <v xml:space="preserve"> - </v>
      </c>
      <c r="C11" s="446" t="str">
        <f>IF(ISNUMBER(NºAsuntos!I11/NºAsuntos!G11),NºAsuntos!I11/NºAsuntos!G11," - ")</f>
        <v xml:space="preserve"> - </v>
      </c>
      <c r="D11" s="447" t="str">
        <f>IF(ISNUMBER('Resol  Asuntos'!D11/NºAsuntos!G11),'Resol  Asuntos'!D11/NºAsuntos!G11," - ")</f>
        <v xml:space="preserve"> - </v>
      </c>
      <c r="E11" s="448" t="str">
        <f>IF(ISNUMBER((NºAsuntos!C11+NºAsuntos!E11)/NºAsuntos!G11),(NºAsuntos!C11+NºAsuntos!E11)/NºAsuntos!G11," - ")</f>
        <v xml:space="preserve"> - </v>
      </c>
      <c r="G11" s="466"/>
    </row>
    <row r="12" spans="1:7" ht="13.5" thickBot="1">
      <c r="A12" s="405" t="str">
        <f>Datos!A12</f>
        <v xml:space="preserve">Jdos. 1ª Instª. e Instr.                        </v>
      </c>
      <c r="B12" s="445">
        <f>IF(ISNUMBER(NºAsuntos!G12/NºAsuntos!E12),NºAsuntos!G12/NºAsuntos!E12," - ")</f>
        <v>0.8189338235294118</v>
      </c>
      <c r="C12" s="446">
        <f>IF(ISNUMBER(NºAsuntos!I12/NºAsuntos!G12),NºAsuntos!I12/NºAsuntos!G12," - ")</f>
        <v>0.80134680134680136</v>
      </c>
      <c r="D12" s="447">
        <f>IF(ISNUMBER('Resol  Asuntos'!D12/NºAsuntos!G12),'Resol  Asuntos'!D12/NºAsuntos!G12," - ")</f>
        <v>0.265993265993266</v>
      </c>
      <c r="E12" s="448">
        <f>IF(ISNUMBER((NºAsuntos!C12+NºAsuntos!E12)/NºAsuntos!G12),(NºAsuntos!C12+NºAsuntos!E12)/NºAsuntos!G12," - ")</f>
        <v>1.8013468013468013</v>
      </c>
      <c r="G12" s="466"/>
    </row>
    <row r="13" spans="1:7" ht="14.25" thickTop="1" thickBot="1">
      <c r="A13" s="851" t="str">
        <f>Datos!A13</f>
        <v>TOTAL</v>
      </c>
      <c r="B13" s="861">
        <f>IF(ISNUMBER(NºAsuntos!G13/NºAsuntos!E13),NºAsuntos!G13/NºAsuntos!E13," - ")</f>
        <v>0.82100456621004569</v>
      </c>
      <c r="C13" s="862">
        <f>IF(ISNUMBER(NºAsuntos!I13/NºAsuntos!G13),NºAsuntos!I13/NºAsuntos!G13," - ")</f>
        <v>0.8031145717463849</v>
      </c>
      <c r="D13" s="863">
        <f>IF(ISNUMBER('Resol  Asuntos'!D13/NºAsuntos!G13),'Resol  Asuntos'!D13/NºAsuntos!G13," - ")</f>
        <v>0.26807563959955505</v>
      </c>
      <c r="E13" s="864">
        <f>IF(ISNUMBER((NºAsuntos!C13+NºAsuntos!E13)/NºAsuntos!G13),(NºAsuntos!C13+NºAsuntos!E13)/NºAsuntos!G13," - ")</f>
        <v>1.8031145717463848</v>
      </c>
      <c r="G13" s="466"/>
    </row>
    <row r="14" spans="1:7" ht="13.5" thickTop="1">
      <c r="A14" s="399" t="str">
        <f>Datos!A14</f>
        <v xml:space="preserve">Jurisdicción Penal ( 2 ):                      </v>
      </c>
      <c r="B14" s="449"/>
      <c r="C14" s="450"/>
      <c r="D14" s="410"/>
      <c r="E14" s="451"/>
      <c r="G14" s="466"/>
    </row>
    <row r="15" spans="1:7">
      <c r="A15" s="405" t="str">
        <f>Datos!A15</f>
        <v xml:space="preserve">Jdos. Instrucción                               </v>
      </c>
      <c r="B15" s="445" t="str">
        <f>IF(ISNUMBER(NºAsuntos!G15/NºAsuntos!E15),NºAsuntos!G15/NºAsuntos!E15," - ")</f>
        <v xml:space="preserve"> - </v>
      </c>
      <c r="C15" s="446" t="str">
        <f>IF(ISNUMBER(NºAsuntos!I15/NºAsuntos!G15),NºAsuntos!I15/NºAsuntos!G15," - ")</f>
        <v xml:space="preserve"> - </v>
      </c>
      <c r="D15" s="447" t="str">
        <f>IF(ISNUMBER('Resol  Asuntos'!D15/NºAsuntos!G15),'Resol  Asuntos'!D15/NºAsuntos!G15," - ")</f>
        <v xml:space="preserve"> - </v>
      </c>
      <c r="E15" s="448" t="str">
        <f>IF(ISNUMBER((NºAsuntos!C15+NºAsuntos!E15)/NºAsuntos!G15),(NºAsuntos!C15+NºAsuntos!E15)/NºAsuntos!G15," - ")</f>
        <v xml:space="preserve"> - </v>
      </c>
      <c r="G15" s="466"/>
    </row>
    <row r="16" spans="1:7">
      <c r="A16" s="405" t="str">
        <f>Datos!A16</f>
        <v xml:space="preserve">Jdos. 1ª Instª. e Instr.                        </v>
      </c>
      <c r="B16" s="445">
        <f>IF(ISNUMBER(NºAsuntos!G16/NºAsuntos!E16),NºAsuntos!G16/NºAsuntos!E16," - ")</f>
        <v>0.93929712460063897</v>
      </c>
      <c r="C16" s="446">
        <f>IF(ISNUMBER(NºAsuntos!I16/NºAsuntos!G16),NºAsuntos!I16/NºAsuntos!G16," - ")</f>
        <v>0.29818594104308388</v>
      </c>
      <c r="D16" s="447">
        <f>IF(ISNUMBER('Resol  Asuntos'!D16/NºAsuntos!G16),'Resol  Asuntos'!D16/NºAsuntos!G16," - ")</f>
        <v>0.1360544217687075</v>
      </c>
      <c r="E16" s="448">
        <f>IF(ISNUMBER((NºAsuntos!C16+NºAsuntos!E16)/NºAsuntos!G16),(NºAsuntos!C16+NºAsuntos!E16)/NºAsuntos!G16," - ")</f>
        <v>1.2925170068027212</v>
      </c>
      <c r="G16" s="466"/>
    </row>
    <row r="17" spans="1:7" ht="13.5" thickBot="1">
      <c r="A17" s="405" t="str">
        <f>Datos!A17</f>
        <v>Jdos. Violencia contra la mujer</v>
      </c>
      <c r="B17" s="445">
        <f>IF(ISNUMBER(NºAsuntos!G17/NºAsuntos!E17),NºAsuntos!G17/NºAsuntos!E17," - ")</f>
        <v>0.96296296296296291</v>
      </c>
      <c r="C17" s="446">
        <f>IF(ISNUMBER(NºAsuntos!I17/NºAsuntos!G17),NºAsuntos!I17/NºAsuntos!G17," - ")</f>
        <v>0.13461538461538461</v>
      </c>
      <c r="D17" s="447">
        <f>IF(ISNUMBER('Resol  Asuntos'!D17/NºAsuntos!G17),'Resol  Asuntos'!D17/NºAsuntos!G17," - ")</f>
        <v>0.24038461538461539</v>
      </c>
      <c r="E17" s="448">
        <f>IF(ISNUMBER((NºAsuntos!C17+NºAsuntos!E17)/NºAsuntos!G17),(NºAsuntos!C17+NºAsuntos!E17)/NºAsuntos!G17," - ")</f>
        <v>1.1346153846153846</v>
      </c>
      <c r="G17" s="466"/>
    </row>
    <row r="18" spans="1:7" ht="14.25" thickTop="1" thickBot="1">
      <c r="A18" s="851" t="str">
        <f>Datos!A18</f>
        <v>TOTAL</v>
      </c>
      <c r="B18" s="861">
        <f>IF(ISNUMBER(NºAsuntos!G18/NºAsuntos!E18),NºAsuntos!G18/NºAsuntos!E18," - ")</f>
        <v>0.94173829990448898</v>
      </c>
      <c r="C18" s="862">
        <f>IF(ISNUMBER(NºAsuntos!I18/NºAsuntos!G18),NºAsuntos!I18/NºAsuntos!G18," - ")</f>
        <v>0.28093306288032455</v>
      </c>
      <c r="D18" s="865">
        <f>IF(ISNUMBER('Resol  Asuntos'!D18/NºAsuntos!G18),'Resol  Asuntos'!D18/NºAsuntos!G18," - ")</f>
        <v>0.14705882352941177</v>
      </c>
      <c r="E18" s="864">
        <f>IF(ISNUMBER((NºAsuntos!C18+NºAsuntos!E18)/NºAsuntos!G18),(NºAsuntos!C18+NºAsuntos!E18)/NºAsuntos!G18," - ")</f>
        <v>1.2758620689655173</v>
      </c>
      <c r="G18" s="466"/>
    </row>
    <row r="19" spans="1:7" ht="15.75" customHeight="1" thickTop="1" thickBot="1">
      <c r="A19" s="796" t="str">
        <f>Datos!A19</f>
        <v>TOTAL JURISDICCIONES</v>
      </c>
      <c r="B19" s="811">
        <f>IF(ISNUMBER(NºAsuntos!G19/NºAsuntos!E19),NºAsuntos!G19/NºAsuntos!E19," - ")</f>
        <v>0.88001867413632118</v>
      </c>
      <c r="C19" s="812">
        <f>IF(ISNUMBER(NºAsuntos!I19/NºAsuntos!G19),NºAsuntos!I19/NºAsuntos!G19," - ")</f>
        <v>0.52997347480106105</v>
      </c>
      <c r="D19" s="813">
        <f>IF(ISNUMBER('Resol  Asuntos'!D19/NºAsuntos!G19),'Resol  Asuntos'!D19/NºAsuntos!G19," - ")</f>
        <v>0.20477453580901855</v>
      </c>
      <c r="E19" s="814">
        <f>IF(ISNUMBER((NºAsuntos!C19+NºAsuntos!E19)/NºAsuntos!G19),(NºAsuntos!C19+NºAsuntos!E19)/NºAsuntos!G19," - ")</f>
        <v>1.5273209549071618</v>
      </c>
      <c r="G19" s="466"/>
    </row>
    <row r="20" spans="1:7">
      <c r="A20" s="414"/>
      <c r="B20" s="414"/>
      <c r="C20" s="414"/>
      <c r="G20" s="466"/>
    </row>
    <row r="21" spans="1:7">
      <c r="A21" s="416"/>
      <c r="B21" s="416"/>
      <c r="C21" s="416"/>
      <c r="G21" s="466"/>
    </row>
    <row r="22" spans="1:7">
      <c r="A22" s="1188"/>
      <c r="B22" s="1188"/>
      <c r="C22" s="1188"/>
      <c r="G22" s="466"/>
    </row>
    <row r="23" spans="1:7">
      <c r="A23" s="394" t="str">
        <f>Criterios!A4</f>
        <v>Fecha Informe: 03 may. 2024</v>
      </c>
    </row>
    <row r="25" spans="1:7" ht="12" customHeight="1">
      <c r="A25" s="468"/>
      <c r="B25" s="468"/>
      <c r="C25" s="468"/>
      <c r="D25" s="468"/>
      <c r="E25" s="468"/>
    </row>
    <row r="26" spans="1:7" ht="13.5" customHeight="1">
      <c r="A26" s="468"/>
      <c r="B26" s="469"/>
      <c r="C26" s="469"/>
      <c r="D26" s="469"/>
      <c r="E26" s="469"/>
    </row>
    <row r="27" spans="1:7" ht="13.5" customHeight="1">
      <c r="A27" s="468"/>
      <c r="B27" s="469"/>
      <c r="C27" s="469"/>
      <c r="D27" s="469"/>
      <c r="E27" s="469"/>
    </row>
    <row r="28" spans="1:7" ht="13.5" customHeight="1">
      <c r="A28" s="468"/>
      <c r="B28" s="469"/>
      <c r="C28" s="469"/>
      <c r="D28" s="469"/>
      <c r="E28" s="469"/>
    </row>
  </sheetData>
  <sheetProtection algorithmName="SHA-512" hashValue="WuFsxVDbVLDkMxGpYiujpsP1rwsqACgiG5w/p+0I0ubaq1sr2JT4HZSwr4SIHx7jv7m3Y/cOv6r3Uy1FuLiriA==" saltValue="A56HsYNmF7GfWAswWSZyc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N11" sqref="N11"/>
    </sheetView>
  </sheetViews>
  <sheetFormatPr baseColWidth="10" defaultRowHeight="12.75"/>
  <cols>
    <col min="1" max="2" width="9.42578125" style="17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4" hidden="1" customWidth="1"/>
    <col min="56" max="57" width="11.42578125" customWidth="1"/>
    <col min="58" max="65" width="11.42578125" hidden="1" customWidth="1"/>
    <col min="66" max="66" width="11.42578125" customWidth="1"/>
  </cols>
  <sheetData>
    <row r="2" spans="1:65" ht="16.5" customHeight="1">
      <c r="C2" s="268"/>
      <c r="D2" s="268"/>
      <c r="E2" s="265"/>
      <c r="F2" s="265" t="str">
        <f>Criterios!A9 &amp;"  "&amp;Criterios!B9</f>
        <v>Tribunales de Justicia  ASTURIAS</v>
      </c>
      <c r="G2" s="266"/>
      <c r="H2" s="265"/>
      <c r="I2" s="265"/>
      <c r="J2" s="265"/>
      <c r="K2" s="265"/>
      <c r="L2" s="265" t="str">
        <f>Criterios!A10 &amp;"  "&amp;Criterios!B10</f>
        <v>Provincias  ASTURIAS</v>
      </c>
      <c r="N2" s="265" t="str">
        <f>Criterios!A11 &amp;"  "&amp;Criterios!B11</f>
        <v>Resumenes por Partidos Judiciales  LENA</v>
      </c>
      <c r="O2" s="265"/>
      <c r="P2" s="265"/>
      <c r="Q2" s="265"/>
      <c r="R2" s="265"/>
    </row>
    <row r="3" spans="1:65" ht="16.5" customHeight="1">
      <c r="C3" s="270"/>
      <c r="D3" s="270"/>
      <c r="G3" s="266"/>
      <c r="H3" s="265"/>
    </row>
    <row r="4" spans="1:65" ht="16.5" customHeight="1" thickBot="1">
      <c r="C4" s="95"/>
      <c r="D4" s="95"/>
      <c r="E4" s="333"/>
      <c r="F4" s="333"/>
      <c r="G4" s="333"/>
      <c r="H4" s="333"/>
      <c r="I4" s="333"/>
      <c r="J4" s="333"/>
      <c r="K4" s="333"/>
      <c r="L4" s="333"/>
      <c r="M4" s="333"/>
      <c r="N4" s="265"/>
      <c r="O4" s="265"/>
      <c r="P4" s="265"/>
      <c r="Q4" s="265"/>
      <c r="R4" s="265"/>
    </row>
    <row r="5" spans="1:65" ht="15.75" customHeight="1">
      <c r="A5" s="1276" t="s">
        <v>351</v>
      </c>
      <c r="B5" s="275"/>
      <c r="C5" s="1279" t="str">
        <f>"Año:  " &amp;Criterios!B$5 &amp; "          Trimestre   " &amp;Criterios!D$5 &amp; " al " &amp;Criterios!D$6</f>
        <v>Año:  2023          Trimestre   1 al 4</v>
      </c>
      <c r="D5" s="1249" t="s">
        <v>376</v>
      </c>
      <c r="E5" s="1249" t="s">
        <v>318</v>
      </c>
      <c r="F5" s="1281" t="s">
        <v>406</v>
      </c>
      <c r="G5" s="1284" t="s">
        <v>128</v>
      </c>
      <c r="H5" s="1240" t="s">
        <v>160</v>
      </c>
      <c r="I5" s="1240" t="s">
        <v>164</v>
      </c>
      <c r="J5" s="1240" t="s">
        <v>165</v>
      </c>
      <c r="K5" s="1240" t="s">
        <v>407</v>
      </c>
      <c r="L5" s="1240" t="s">
        <v>587</v>
      </c>
      <c r="M5" s="1240" t="s">
        <v>322</v>
      </c>
      <c r="N5" s="1240" t="s">
        <v>377</v>
      </c>
      <c r="O5" s="1240" t="s">
        <v>409</v>
      </c>
      <c r="P5" s="1240" t="s">
        <v>163</v>
      </c>
      <c r="Q5" s="1240" t="s">
        <v>41</v>
      </c>
      <c r="R5" s="1255" t="s">
        <v>166</v>
      </c>
      <c r="S5" s="1258" t="s">
        <v>169</v>
      </c>
      <c r="T5" s="1246" t="s">
        <v>170</v>
      </c>
      <c r="U5" s="1243" t="s">
        <v>171</v>
      </c>
      <c r="V5" s="1270" t="s">
        <v>320</v>
      </c>
      <c r="W5" s="1287" t="s">
        <v>172</v>
      </c>
      <c r="X5" s="1290" t="s">
        <v>173</v>
      </c>
      <c r="Y5" s="1290" t="s">
        <v>174</v>
      </c>
      <c r="Z5" s="1273" t="s">
        <v>175</v>
      </c>
      <c r="AA5" s="1261" t="s">
        <v>176</v>
      </c>
      <c r="AB5" s="1240" t="s">
        <v>177</v>
      </c>
      <c r="AC5" s="1240" t="s">
        <v>178</v>
      </c>
      <c r="AD5" s="1293" t="s">
        <v>179</v>
      </c>
      <c r="AE5" s="1249" t="s">
        <v>182</v>
      </c>
      <c r="AF5" s="1264" t="s">
        <v>180</v>
      </c>
      <c r="AG5" s="1240" t="s">
        <v>181</v>
      </c>
      <c r="AH5" s="1255" t="s">
        <v>200</v>
      </c>
      <c r="AI5" s="1261" t="s">
        <v>183</v>
      </c>
      <c r="AJ5" s="1267" t="s">
        <v>247</v>
      </c>
      <c r="AK5" s="1252" t="s">
        <v>248</v>
      </c>
      <c r="AL5" s="1249" t="s">
        <v>249</v>
      </c>
      <c r="AM5" s="1249" t="s">
        <v>359</v>
      </c>
      <c r="AN5" s="1249" t="s">
        <v>250</v>
      </c>
      <c r="AO5" s="1249" t="s">
        <v>251</v>
      </c>
      <c r="AP5" s="1249" t="s">
        <v>301</v>
      </c>
      <c r="AQ5" s="1249" t="s">
        <v>184</v>
      </c>
      <c r="AR5" s="1249" t="s">
        <v>185</v>
      </c>
      <c r="AS5" s="1249" t="s">
        <v>388</v>
      </c>
      <c r="AT5" s="1249" t="s">
        <v>294</v>
      </c>
      <c r="AU5" s="1249" t="s">
        <v>295</v>
      </c>
      <c r="AV5" s="1249" t="s">
        <v>333</v>
      </c>
      <c r="AW5" s="1249" t="s">
        <v>839</v>
      </c>
      <c r="AX5" s="1249" t="s">
        <v>321</v>
      </c>
      <c r="AY5" s="1249" t="s">
        <v>753</v>
      </c>
      <c r="AZ5" s="1249" t="s">
        <v>754</v>
      </c>
      <c r="BF5" s="1238" t="s">
        <v>201</v>
      </c>
      <c r="BG5" s="1239"/>
      <c r="BH5" s="1238" t="s">
        <v>202</v>
      </c>
      <c r="BI5" s="1239"/>
      <c r="BJ5" s="1238" t="s">
        <v>203</v>
      </c>
      <c r="BK5" s="1239"/>
      <c r="BL5" s="1238" t="s">
        <v>204</v>
      </c>
      <c r="BM5" s="1239"/>
    </row>
    <row r="6" spans="1:65" ht="21.75" customHeight="1">
      <c r="A6" s="1277"/>
      <c r="B6" s="276"/>
      <c r="C6" s="1280"/>
      <c r="D6" s="1250"/>
      <c r="E6" s="1250"/>
      <c r="F6" s="1282"/>
      <c r="G6" s="1285"/>
      <c r="H6" s="1241"/>
      <c r="I6" s="1241"/>
      <c r="J6" s="1241"/>
      <c r="K6" s="1241"/>
      <c r="L6" s="1241"/>
      <c r="M6" s="1241"/>
      <c r="N6" s="1241"/>
      <c r="O6" s="1241"/>
      <c r="P6" s="1241"/>
      <c r="Q6" s="1241"/>
      <c r="R6" s="1256"/>
      <c r="S6" s="1259"/>
      <c r="T6" s="1247"/>
      <c r="U6" s="1244"/>
      <c r="V6" s="1271"/>
      <c r="W6" s="1288"/>
      <c r="X6" s="1291"/>
      <c r="Y6" s="1291"/>
      <c r="Z6" s="1274"/>
      <c r="AA6" s="1262"/>
      <c r="AB6" s="1241"/>
      <c r="AC6" s="1241"/>
      <c r="AD6" s="1294"/>
      <c r="AE6" s="1250"/>
      <c r="AF6" s="1265"/>
      <c r="AG6" s="1241"/>
      <c r="AH6" s="1256"/>
      <c r="AI6" s="1262"/>
      <c r="AJ6" s="1268"/>
      <c r="AK6" s="1253"/>
      <c r="AL6" s="1250"/>
      <c r="AM6" s="1250"/>
      <c r="AN6" s="1250"/>
      <c r="AO6" s="1250"/>
      <c r="AP6" s="1250"/>
      <c r="AQ6" s="1250"/>
      <c r="AR6" s="1250"/>
      <c r="AS6" s="1250"/>
      <c r="AT6" s="1250"/>
      <c r="AU6" s="1250"/>
      <c r="AV6" s="1250"/>
      <c r="AW6" s="1250"/>
      <c r="AX6" s="1250"/>
      <c r="AY6" s="1250"/>
      <c r="AZ6" s="1250"/>
      <c r="BF6" s="1236" t="s">
        <v>161</v>
      </c>
      <c r="BG6" s="1236" t="s">
        <v>162</v>
      </c>
      <c r="BH6" s="1236" t="s">
        <v>161</v>
      </c>
      <c r="BI6" s="1236" t="s">
        <v>162</v>
      </c>
      <c r="BJ6" s="1236" t="s">
        <v>161</v>
      </c>
      <c r="BK6" s="1236" t="s">
        <v>162</v>
      </c>
      <c r="BL6" s="1236" t="s">
        <v>161</v>
      </c>
      <c r="BM6" s="1236" t="s">
        <v>162</v>
      </c>
    </row>
    <row r="7" spans="1:65" ht="38.25" customHeight="1" thickBot="1">
      <c r="A7" s="1278"/>
      <c r="B7" s="277"/>
      <c r="C7" s="267" t="str">
        <f>Datos!A7</f>
        <v>COMPETENCIAS</v>
      </c>
      <c r="D7" s="1251"/>
      <c r="E7" s="1251"/>
      <c r="F7" s="1283"/>
      <c r="G7" s="1286"/>
      <c r="H7" s="1242"/>
      <c r="I7" s="1242"/>
      <c r="J7" s="1242"/>
      <c r="K7" s="1242"/>
      <c r="L7" s="1242"/>
      <c r="M7" s="1242"/>
      <c r="N7" s="1242"/>
      <c r="O7" s="1242"/>
      <c r="P7" s="1242"/>
      <c r="Q7" s="1242"/>
      <c r="R7" s="1257"/>
      <c r="S7" s="1260"/>
      <c r="T7" s="1248"/>
      <c r="U7" s="1245"/>
      <c r="V7" s="1272"/>
      <c r="W7" s="1289"/>
      <c r="X7" s="1292"/>
      <c r="Y7" s="1292"/>
      <c r="Z7" s="1275"/>
      <c r="AA7" s="1263"/>
      <c r="AB7" s="1242"/>
      <c r="AC7" s="1242"/>
      <c r="AD7" s="1295"/>
      <c r="AE7" s="1251"/>
      <c r="AF7" s="1266"/>
      <c r="AG7" s="1242"/>
      <c r="AH7" s="1257"/>
      <c r="AI7" s="1263"/>
      <c r="AJ7" s="1269"/>
      <c r="AK7" s="1254"/>
      <c r="AL7" s="1251"/>
      <c r="AM7" s="1251"/>
      <c r="AN7" s="1251"/>
      <c r="AO7" s="1251"/>
      <c r="AP7" s="1251"/>
      <c r="AQ7" s="1251"/>
      <c r="AR7" s="1251"/>
      <c r="AS7" s="1251"/>
      <c r="AT7" s="1251"/>
      <c r="AU7" s="1251"/>
      <c r="AV7" s="1251"/>
      <c r="AW7" s="1251"/>
      <c r="AX7" s="1251"/>
      <c r="AY7" s="1251"/>
      <c r="AZ7" s="1251"/>
      <c r="BF7" s="1237"/>
      <c r="BG7" s="1237"/>
      <c r="BH7" s="1237"/>
      <c r="BI7" s="1237"/>
      <c r="BJ7" s="1237"/>
      <c r="BK7" s="1237"/>
      <c r="BL7" s="1237"/>
      <c r="BM7" s="1237"/>
    </row>
    <row r="8" spans="1:65" ht="15.75" thickTop="1" thickBot="1">
      <c r="A8" s="179"/>
      <c r="B8" s="179"/>
      <c r="C8" s="164" t="str">
        <f>Datos!A8</f>
        <v>Jurisdicción Civil ( 1 ):</v>
      </c>
      <c r="D8" s="227"/>
      <c r="E8" s="227"/>
      <c r="F8" s="219"/>
      <c r="G8" s="219"/>
      <c r="H8" s="219"/>
      <c r="I8" s="220"/>
      <c r="J8" s="220"/>
      <c r="K8" s="220"/>
      <c r="L8" s="220"/>
      <c r="M8" s="220"/>
      <c r="N8" s="220"/>
      <c r="O8" s="220"/>
      <c r="P8" s="220"/>
      <c r="Q8" s="220"/>
      <c r="R8" s="220"/>
      <c r="S8" s="224"/>
      <c r="T8" s="225"/>
      <c r="U8" s="225"/>
      <c r="V8" s="226"/>
      <c r="W8" s="219"/>
      <c r="X8" s="220"/>
      <c r="Y8" s="220"/>
      <c r="Z8" s="220"/>
      <c r="AA8" s="219"/>
      <c r="AB8" s="220"/>
      <c r="AC8" s="220"/>
      <c r="AD8" s="220"/>
      <c r="AE8" s="312"/>
      <c r="AF8" s="219"/>
      <c r="AG8" s="220"/>
      <c r="AH8" s="221"/>
      <c r="AI8" s="219"/>
      <c r="AJ8" s="222"/>
      <c r="AK8" s="223"/>
      <c r="AL8" s="224"/>
      <c r="AM8" s="225"/>
      <c r="AN8" s="225"/>
      <c r="AO8" s="226"/>
      <c r="AP8" s="227"/>
      <c r="AQ8" s="227"/>
      <c r="AR8" s="306"/>
      <c r="AS8" s="227"/>
      <c r="AT8" s="227"/>
      <c r="AU8" s="227"/>
      <c r="AV8" s="227"/>
      <c r="AW8" s="227"/>
      <c r="AX8" s="302"/>
      <c r="AY8" s="302"/>
      <c r="AZ8" s="302"/>
      <c r="BF8" s="50"/>
      <c r="BG8" s="50"/>
      <c r="BH8" s="50"/>
      <c r="BI8" s="50"/>
      <c r="BJ8" s="50"/>
      <c r="BK8" s="50"/>
      <c r="BL8" s="50"/>
      <c r="BM8" s="50"/>
    </row>
    <row r="9" spans="1:65" ht="14.25">
      <c r="A9" s="180">
        <f>Datos!AO9</f>
        <v>0</v>
      </c>
      <c r="B9" s="180" t="s">
        <v>246</v>
      </c>
      <c r="C9" s="163" t="str">
        <f>Datos!A9</f>
        <v xml:space="preserve">Jdos. 1ª Instancia   </v>
      </c>
      <c r="D9" s="163"/>
      <c r="E9" s="1028">
        <f>IF(ISNUMBER(Datos!AQ9),Datos!AQ9," - ")</f>
        <v>0</v>
      </c>
      <c r="F9" s="228" t="str">
        <f>IF(ISNUMBER(AA9+W9-I9-K9),AA9+W9-I9-K9," - ")</f>
        <v xml:space="preserve"> - </v>
      </c>
      <c r="G9" s="336" t="str">
        <f>IF(ISNUMBER(IF(J_V="SI",Datos!I9,Datos!I9+Datos!Y9)-IF(Monitorios="SI",Datos!CA9,0)),
                          IF(J_V="SI",Datos!I9,Datos!I9+Datos!Y9)-IF(Monitorios="SI",Datos!CA9,0),
                          " - ")</f>
        <v xml:space="preserve"> - </v>
      </c>
      <c r="H9" s="228" t="str">
        <f>IF(ISNUMBER(Datos!DB9),Datos!DB9," - ")</f>
        <v xml:space="preserve"> - </v>
      </c>
      <c r="I9" s="229" t="str">
        <f>IF(ISNUMBER(Datos!DC9),Datos!DC9," - ")</f>
        <v xml:space="preserve"> - </v>
      </c>
      <c r="J9" s="229" t="str">
        <f>IF(ISNUMBER(Datos!DD9),Datos!DD9," - ")</f>
        <v xml:space="preserve"> - </v>
      </c>
      <c r="K9" s="229">
        <f>IF(ISNUMBER(Datos!DF9),Datos!DF9,0)</f>
        <v>0</v>
      </c>
      <c r="L9" s="229">
        <f>IF(ISNUMBER(Datos!P9),Datos!P9,0)</f>
        <v>0</v>
      </c>
      <c r="M9" s="229" t="str">
        <f>IF(ISNUMBER(Datos!DE9),Datos!DE9," - ")</f>
        <v xml:space="preserve"> - </v>
      </c>
      <c r="N9" s="229" t="str">
        <f>IF(ISNUMBER(H9+L9),H9+L9," - ")</f>
        <v xml:space="preserve"> - </v>
      </c>
      <c r="O9" s="337"/>
      <c r="P9" s="340" t="str">
        <f>IF(ISNUMBER((N9)/((BL9+BM9)/2)),(N9)/((BL9+BM9)/2)," - ")</f>
        <v xml:space="preserve"> - </v>
      </c>
      <c r="Q9" s="340" t="str">
        <f>IF(ISNUMBER((N9)/((BL9+BM9)/2)),(N9)/((BL9+BM9)/2)," - ")</f>
        <v xml:space="preserve"> - </v>
      </c>
      <c r="R9" s="230" t="str">
        <f>IF(ISNUMBER(Datos!CB9),Datos!CB9," - ")</f>
        <v xml:space="preserve"> - </v>
      </c>
      <c r="S9" s="228">
        <f>IF(ISNUMBER(Datos!BY9+Datos!BZ9*0.86),Datos!BY9+Datos!BZ9*0.86," - ")</f>
        <v>0</v>
      </c>
      <c r="T9" s="340">
        <f>IF(ISNUMBER((S9*factor_trimestre)/DatosB!CN9),(S9*factor_trimestre)/DatosB!CN9,"-")</f>
        <v>0</v>
      </c>
      <c r="U9" s="301"/>
      <c r="V9" s="340">
        <f>IF(ISNUMBER((U9*factor_trimestre)/DatosB!CN9),(U9*factor_trimestre)/DatosB!CN9,"-")</f>
        <v>0</v>
      </c>
      <c r="W9" s="228" t="str">
        <f>IF(ISNUMBER(IF(J_V="SI",Datos!K9,Datos!K9+Datos!AA9)-IF(Monitorios="SI",Datos!CC9,0)),
                          IF(J_V="SI",Datos!K9,Datos!K9+Datos!AA9)-IF(Monitorios="SI",Datos!CC9,0),
                          " - ")</f>
        <v xml:space="preserve"> - </v>
      </c>
      <c r="X9" s="229" t="str">
        <f>IF(ISNUMBER(Datos!Q9),Datos!Q9," - ")</f>
        <v xml:space="preserve"> - </v>
      </c>
      <c r="Y9" s="337">
        <f>SUM(W9:X9)</f>
        <v>0</v>
      </c>
      <c r="Z9" s="338" t="str">
        <f>IF(ISNUMBER(Datos!CC9),Datos!CC9," - ")</f>
        <v xml:space="preserve"> - </v>
      </c>
      <c r="AA9" s="335" t="str">
        <f>IF(ISNUMBER(IF(J_V="SI",Datos!L9,Datos!L9+Datos!AB9)-IF(Monitorios="SI",Datos!CD9,0)),
                          IF(J_V="SI",Datos!L9,Datos!L9+Datos!AB9)-IF(Monitorios="SI",Datos!CD9,0),
                          " - ")</f>
        <v xml:space="preserve"> - </v>
      </c>
      <c r="AB9" s="337" t="str">
        <f>IF(ISNUMBER(Datos!R9),Datos!R9," - ")</f>
        <v xml:space="preserve"> - </v>
      </c>
      <c r="AC9" s="337" t="str">
        <f>IF(ISNUMBER(AA9+AB9),AA9+AB9," - ")</f>
        <v xml:space="preserve"> - </v>
      </c>
      <c r="AD9" s="338" t="str">
        <f>IF(ISNUMBER(Datos!CD9),Datos!CD9," - ")</f>
        <v xml:space="preserve"> - </v>
      </c>
      <c r="AE9" s="232" t="str">
        <f>IF(ISNUMBER(Datos!BV9),Datos!BV9," - ")</f>
        <v xml:space="preserve"> - </v>
      </c>
      <c r="AF9" s="228" t="str">
        <f>IF(ISNUMBER(Datos!CK9),Datos!CK9," - ")</f>
        <v xml:space="preserve"> - </v>
      </c>
      <c r="AG9" s="301" t="str">
        <f>IF(ISNUMBER(Datos!CL9),Datos!CL9," - ")</f>
        <v xml:space="preserve"> - </v>
      </c>
      <c r="AH9" s="230" t="str">
        <f>IF(ISNUMBER(Datos!CM9),Datos!CM9," - ")</f>
        <v xml:space="preserve"> - </v>
      </c>
      <c r="AI9" s="228" t="str">
        <f>IF(ISNUMBER(Datos!M9),Datos!M9," - ")</f>
        <v xml:space="preserve"> - </v>
      </c>
      <c r="AJ9" s="232" t="str">
        <f>IF(ISNUMBER(Datos!BW9),Datos!BW9," - ")</f>
        <v xml:space="preserve"> - </v>
      </c>
      <c r="AK9" s="231" t="str">
        <f>IF(ISNUMBER(Datos!BX9),Datos!BX9," - ")</f>
        <v xml:space="preserve"> - </v>
      </c>
      <c r="AL9" s="246" t="str">
        <f>IF(ISNUMBER(NºAsuntos!G9/NºAsuntos!E9),NºAsuntos!G9/NºAsuntos!E9," - ")</f>
        <v xml:space="preserve"> - </v>
      </c>
      <c r="AM9" s="263" t="str">
        <f>IF(ISNUMBER(((NºAsuntos!I9/NºAsuntos!G9)*11)/factor_trimestre),((NºAsuntos!I9/NºAsuntos!G9)*11)/factor_trimestre," - ")</f>
        <v xml:space="preserve"> - </v>
      </c>
      <c r="AN9" s="247" t="str">
        <f>IF(ISNUMBER('Resol  Asuntos'!D9/NºAsuntos!G9),'Resol  Asuntos'!D9/NºAsuntos!G9," - ")</f>
        <v xml:space="preserve"> - </v>
      </c>
      <c r="AO9" s="248" t="str">
        <f>IF(ISNUMBER((NºAsuntos!C9+NºAsuntos!E9)/NºAsuntos!G9),(NºAsuntos!C9+NºAsuntos!E9)/NºAsuntos!G9," - ")</f>
        <v xml:space="preserve"> - </v>
      </c>
      <c r="AP9" s="233" t="str">
        <f>IF(ISNUMBER(AT9/AU9),AT9/AU9," - ")</f>
        <v xml:space="preserve"> - </v>
      </c>
      <c r="AQ9" s="233" t="str">
        <f>IF(ISNUMBER((I9-W9+K9)/(F9)),(I9-W9+K9)/(F9)," - ")</f>
        <v xml:space="preserve"> - </v>
      </c>
      <c r="AR9" s="307" t="str">
        <f>IF(ISNUMBER((Datos!P9-Datos!Q9+M9)/(Datos!R9-Datos!P9+Datos!Q9-M9)),(Datos!P9-Datos!Q9+M9)/(Datos!R9-Datos!P9+Datos!Q9-M9)," - ")</f>
        <v xml:space="preserve"> - </v>
      </c>
      <c r="AS9" s="269" t="str">
        <f>IF(ISNUMBER(Datos!CS9),Datos!CS9," - ")</f>
        <v xml:space="preserve"> - </v>
      </c>
      <c r="AT9" s="269" t="str">
        <f>IF(ISNUMBER(Datos!CI9),Datos!CI9," - ")</f>
        <v xml:space="preserve"> - </v>
      </c>
      <c r="AU9" s="269" t="str">
        <f>IF(ISNUMBER(Datos!CJ9),Datos!CJ9," - ")</f>
        <v xml:space="preserve"> - </v>
      </c>
      <c r="AV9" s="269" t="str">
        <f>IF(ISNUMBER(Datos!CW9),Datos!CW9," - ")</f>
        <v xml:space="preserve"> - </v>
      </c>
      <c r="AW9" s="269" t="str">
        <f>IF(ISNUMBER(Datos!EV9),Datos!EV9," - ")</f>
        <v xml:space="preserve"> - </v>
      </c>
      <c r="AX9" s="269">
        <f>IF(ISNUMBER(Datos!CX9)," - ",Datos!CX9)</f>
        <v>0</v>
      </c>
      <c r="AY9" s="269" t="str">
        <f>IF(ISNUMBER(Datos!ET9),Datos!ET9," - ")</f>
        <v xml:space="preserve"> - </v>
      </c>
      <c r="AZ9" s="994" t="e">
        <f>(AY9/Datos!ER9)*factor_trimestre</f>
        <v>#VALUE!</v>
      </c>
      <c r="BF9" s="157">
        <f>Datos!BN9/factor_trimestre</f>
        <v>0</v>
      </c>
      <c r="BG9" s="157">
        <f>Datos!BO9/factor_trimestre</f>
        <v>0</v>
      </c>
      <c r="BH9" s="157">
        <f>Datos!BP9/factor_trimestre</f>
        <v>0</v>
      </c>
      <c r="BI9" s="157">
        <f>Datos!BQ9/factor_trimestre</f>
        <v>0</v>
      </c>
      <c r="BJ9" s="157">
        <f>Datos!BR9/factor_trimestre</f>
        <v>0</v>
      </c>
      <c r="BK9" s="157">
        <f>Datos!BS9/factor_trimestre</f>
        <v>0</v>
      </c>
      <c r="BL9" s="157">
        <f>Datos!BT9/factor_trimestre</f>
        <v>0</v>
      </c>
      <c r="BM9" s="157">
        <f>Datos!BU9/factor_trimestre</f>
        <v>0</v>
      </c>
    </row>
    <row r="10" spans="1:65" ht="14.25">
      <c r="A10" s="180">
        <f>Datos!AO10</f>
        <v>1</v>
      </c>
      <c r="B10" s="278" t="s">
        <v>246</v>
      </c>
      <c r="C10" s="7" t="str">
        <f>Datos!A10</f>
        <v>Jdos. Violencia contra la mujer</v>
      </c>
      <c r="D10" s="7"/>
      <c r="E10" s="1028">
        <f>IF(ISNUMBER(Datos!AQ10),Datos!AQ10," - ")</f>
        <v>0</v>
      </c>
      <c r="F10" s="228">
        <f>IF(ISNUMBER(Datos!L10+Datos!K10-Datos!J10-K10),Datos!L10+Datos!K10-Datos!J10-K10," - ")</f>
        <v>9</v>
      </c>
      <c r="G10" s="336">
        <f>IF(ISNUMBER(Datos!I10),Datos!I10," - ")</f>
        <v>9</v>
      </c>
      <c r="H10" s="228" t="str">
        <f>IF(ISNUMBER(Datos!DB10),Datos!DB10," - ")</f>
        <v xml:space="preserve"> - </v>
      </c>
      <c r="I10" s="229" t="str">
        <f>IF(ISNUMBER(Datos!DC10),Datos!DC10," - ")</f>
        <v xml:space="preserve"> - </v>
      </c>
      <c r="J10" s="229" t="str">
        <f>IF(ISNUMBER(Datos!DD10),Datos!DD10," - ")</f>
        <v xml:space="preserve"> - </v>
      </c>
      <c r="K10" s="229">
        <f>IF(ISNUMBER(Datos!DF10),Datos!DF10,0)</f>
        <v>0</v>
      </c>
      <c r="L10" s="229">
        <f>IF(ISNUMBER(Datos!P10),Datos!P10,0)</f>
        <v>4</v>
      </c>
      <c r="M10" s="229" t="str">
        <f>IF(ISNUMBER(Datos!DE10),Datos!DE10," - ")</f>
        <v xml:space="preserve"> - </v>
      </c>
      <c r="N10" s="229" t="str">
        <f>IF(ISNUMBER(H10),H10," - ")</f>
        <v xml:space="preserve"> - </v>
      </c>
      <c r="O10" s="315" t="e">
        <f ca="1">IF(ISNUMBER(INDIRECT("N"&amp;ROW()+salto-1)),N10+(INDIRECT("N"&amp;ROW()+salto-1)),N10+(INDIRECT("N"&amp;ROW()-salto+1)))</f>
        <v>#VALUE!</v>
      </c>
      <c r="P10" s="340" t="str">
        <f>IF(ISNUMBER((N10)/((BL10+BM10)/2)),(N10)/((BL10+BM10)/2)," - ")</f>
        <v xml:space="preserve"> - </v>
      </c>
      <c r="Q10" s="340" t="str">
        <f>IF(jurisdiccion="Jurisdicción Civil y Penal",IF(ISNUMBER((O10)/((BL10+BM10)/2)),(O10)/((BL10+BM10)/2)," - "),IF(ISNUMBER((N10)/((BF10+BG10)/2)),(N10)/((BF10+BG10)/2)," - "))</f>
        <v xml:space="preserve"> - </v>
      </c>
      <c r="R10" s="230" t="str">
        <f>IF(ISNUMBER(Datos!CB10),Datos!CB10," - ")</f>
        <v xml:space="preserve"> - </v>
      </c>
      <c r="S10" s="228" t="str">
        <f>IF(ISNUMBER(Datos!BY10),Datos!BY10," - ")</f>
        <v xml:space="preserve"> - </v>
      </c>
      <c r="T10" s="340" t="str">
        <f>IF(ISNUMBER((S10*factor_trimestre)/DatosB!CN10),(S10*factor_trimestre)/DatosB!CN10,"-")</f>
        <v>-</v>
      </c>
      <c r="U10" s="144" t="e">
        <f ca="1">IF(ISNUMBER(INDIRECT("S"&amp;ROW()+salto-1)),S10+(INDIRECT("S"&amp;ROW()+salto-1)),S10+(INDIRECT("S"&amp;ROW()-salto+1)))</f>
        <v>#VALUE!</v>
      </c>
      <c r="V10" s="340" t="str">
        <f ca="1">IF(ISNUMBER((U10*factor_trimestre)/DatosB!CN10),(U10*factor_trimestre)/DatosB!CN10,"-")</f>
        <v>-</v>
      </c>
      <c r="W10" s="228">
        <f>IF(ISNUMBER(Datos!K10),Datos!K10," - ")</f>
        <v>8</v>
      </c>
      <c r="X10" s="229">
        <f>IF(ISNUMBER(Datos!Q10),Datos!Q10," - ")</f>
        <v>0</v>
      </c>
      <c r="Y10" s="337">
        <f t="shared" ref="Y10:Y12" si="0">SUM(W10:X10)</f>
        <v>8</v>
      </c>
      <c r="Z10" s="338" t="str">
        <f>IF(ISNUMBER(Datos!CC10),Datos!CC10," - ")</f>
        <v xml:space="preserve"> - </v>
      </c>
      <c r="AA10" s="335">
        <f>IF(ISNUMBER(Datos!L10),Datos!L10,"-")</f>
        <v>8</v>
      </c>
      <c r="AB10" s="337">
        <f>IF(ISNUMBER(Datos!R10),Datos!R10," - ")</f>
        <v>5</v>
      </c>
      <c r="AC10" s="337">
        <f t="shared" ref="AC10:AC12" si="1">IF(ISNUMBER(AA10+AB10),AA10+AB10," - ")</f>
        <v>13</v>
      </c>
      <c r="AD10" s="338" t="str">
        <f>IF(ISNUMBER(Datos!CD10),Datos!CD10," - ")</f>
        <v xml:space="preserve"> - </v>
      </c>
      <c r="AE10" s="232" t="str">
        <f>IF(ISNUMBER(Datos!BV10),Datos!BV10," - ")</f>
        <v xml:space="preserve"> - </v>
      </c>
      <c r="AF10" s="228" t="str">
        <f>IF(ISNUMBER(Datos!CK10),Datos!CK10," - ")</f>
        <v xml:space="preserve"> - </v>
      </c>
      <c r="AG10" s="301" t="str">
        <f>IF(ISNUMBER(Datos!CL10),Datos!CL10," - ")</f>
        <v xml:space="preserve"> - </v>
      </c>
      <c r="AH10" s="230" t="str">
        <f>IF(ISNUMBER(Datos!CM10),Datos!CM10," - ")</f>
        <v xml:space="preserve"> - </v>
      </c>
      <c r="AI10" s="228">
        <f>IF(ISNUMBER(Datos!M10),Datos!M10," - ")</f>
        <v>4</v>
      </c>
      <c r="AJ10" s="234" t="str">
        <f>IF(ISNUMBER(Datos!BW10),Datos!BW10," - ")</f>
        <v xml:space="preserve"> - </v>
      </c>
      <c r="AK10" s="235" t="str">
        <f>IF(ISNUMBER(Datos!BX10),Datos!BX10," - ")</f>
        <v xml:space="preserve"> - </v>
      </c>
      <c r="AL10" s="246">
        <f>IF(ISNUMBER(NºAsuntos!G10/NºAsuntos!E10),NºAsuntos!G10/NºAsuntos!E10," - ")</f>
        <v>1.1428571428571428</v>
      </c>
      <c r="AM10" s="263">
        <f>IF(ISNUMBER(((NºAsuntos!I10/NºAsuntos!G10)*11)/factor_trimestre),((NºAsuntos!I10/NºAsuntos!G10)*11)/factor_trimestre," - ")</f>
        <v>11</v>
      </c>
      <c r="AN10" s="247">
        <f>IF(ISNUMBER('Resol  Asuntos'!D10/NºAsuntos!G10),'Resol  Asuntos'!D10/NºAsuntos!G10," - ")</f>
        <v>0.5</v>
      </c>
      <c r="AO10" s="248">
        <f>IF(ISNUMBER((NºAsuntos!C10+NºAsuntos!E10)/NºAsuntos!G10),(NºAsuntos!C10+NºAsuntos!E10)/NºAsuntos!G10," - ")</f>
        <v>2</v>
      </c>
      <c r="AP10" s="233" t="str">
        <f t="shared" ref="AP10:AP20" si="2">IF(ISNUMBER(AT10/AU10),AT10/AU10," - ")</f>
        <v xml:space="preserve"> - </v>
      </c>
      <c r="AQ10" s="233" t="str">
        <f>IF(ISNUMBER((H10-W10+K10)/(F10)),(H10-W10+K10)/(F10)," - ")</f>
        <v xml:space="preserve"> - </v>
      </c>
      <c r="AR10" s="307" t="str">
        <f>IF(ISNUMBER((Datos!P10-Datos!Q10+M10)/(Datos!R10-Datos!P10+Datos!Q10-M10)),(Datos!P10-Datos!Q10+M10)/(Datos!R10-Datos!P10+Datos!Q10-M10)," - ")</f>
        <v xml:space="preserve"> - </v>
      </c>
      <c r="AS10" s="269" t="str">
        <f>IF(ISNUMBER(Datos!CS10),Datos!CS10," - ")</f>
        <v xml:space="preserve"> - </v>
      </c>
      <c r="AT10" s="269" t="str">
        <f>IF(ISNUMBER(Datos!CI10),Datos!CI10," - ")</f>
        <v xml:space="preserve"> - </v>
      </c>
      <c r="AU10" s="269" t="str">
        <f>IF(ISNUMBER(Datos!CJ10),Datos!CJ10," - ")</f>
        <v xml:space="preserve"> - </v>
      </c>
      <c r="AV10" s="269" t="str">
        <f>IF(ISNUMBER(Datos!CW10),Datos!CW10," - ")</f>
        <v xml:space="preserve"> - </v>
      </c>
      <c r="AW10" s="269" t="str">
        <f>IF(ISNUMBER(Datos!EV10),Datos!EV10," - ")</f>
        <v xml:space="preserve"> - </v>
      </c>
      <c r="AX10" s="269">
        <f>IF(ISNUMBER(Datos!CX10)," - ",Datos!CX10)</f>
        <v>0</v>
      </c>
      <c r="AY10" s="269" t="str">
        <f>IF(ISNUMBER(Datos!EO10),Datos!EO10," - ")</f>
        <v xml:space="preserve"> - </v>
      </c>
      <c r="AZ10" s="994" t="e">
        <f>(AY10/Datos!ER10)*factor_trimestre</f>
        <v>#VALUE!</v>
      </c>
      <c r="BF10" s="157">
        <f>Datos!BN10/factor_trimestre</f>
        <v>0</v>
      </c>
      <c r="BG10" s="157">
        <f>Datos!BO10/factor_trimestre</f>
        <v>0</v>
      </c>
      <c r="BH10" s="157">
        <f>Datos!BP10/factor_trimestre</f>
        <v>0</v>
      </c>
      <c r="BI10" s="157">
        <f>Datos!BQ10/factor_trimestre</f>
        <v>0</v>
      </c>
      <c r="BJ10" s="157">
        <f>Datos!BR10/factor_trimestre</f>
        <v>0</v>
      </c>
      <c r="BK10" s="157">
        <f>Datos!BS10/factor_trimestre</f>
        <v>0</v>
      </c>
      <c r="BL10" s="157">
        <f>Datos!BT10/factor_trimestre</f>
        <v>0</v>
      </c>
      <c r="BM10" s="157">
        <f>Datos!BU10/factor_trimestre</f>
        <v>0</v>
      </c>
    </row>
    <row r="11" spans="1:65" ht="14.25">
      <c r="A11" s="180">
        <f>Datos!AO11</f>
        <v>0</v>
      </c>
      <c r="B11" s="278" t="s">
        <v>246</v>
      </c>
      <c r="C11" s="7" t="str">
        <f>Datos!A11</f>
        <v xml:space="preserve">Jdos. Familia                                   </v>
      </c>
      <c r="D11" s="7"/>
      <c r="E11" s="1028">
        <f>IF(ISNUMBER(Datos!AQ11),Datos!AQ11," - ")</f>
        <v>0</v>
      </c>
      <c r="F11" s="228" t="str">
        <f>IF(ISNUMBER(AA11+W11-I11-K11),AA11+W11-I11-K11," - ")</f>
        <v xml:space="preserve"> - </v>
      </c>
      <c r="G11" s="336" t="str">
        <f>IF(ISNUMBER(IF(J_V="SI",Datos!I11,Datos!I11+Datos!Y11)-IF(Monitorios="SI",Datos!CA11,0)),
                          IF(J_V="SI",Datos!I11,Datos!I11+Datos!Y11)-IF(Monitorios="SI",Datos!CA11,0),
                          " - ")</f>
        <v xml:space="preserve"> - </v>
      </c>
      <c r="H11" s="228" t="str">
        <f>IF(ISNUMBER(Datos!DB11),Datos!DB11," - ")</f>
        <v xml:space="preserve"> - </v>
      </c>
      <c r="I11" s="229" t="str">
        <f>IF(ISNUMBER(Datos!DC11),Datos!DC11," - ")</f>
        <v xml:space="preserve"> - </v>
      </c>
      <c r="J11" s="229" t="str">
        <f>IF(ISNUMBER(Datos!DD11),Datos!DD11," - ")</f>
        <v xml:space="preserve"> - </v>
      </c>
      <c r="K11" s="229">
        <f>IF(ISNUMBER(Datos!DF11),Datos!DF11,0)</f>
        <v>0</v>
      </c>
      <c r="L11" s="229">
        <f>IF(ISNUMBER(Datos!P11),Datos!P11,0)</f>
        <v>0</v>
      </c>
      <c r="M11" s="229" t="str">
        <f>IF(ISNUMBER(Datos!DE11),Datos!DE11," - ")</f>
        <v xml:space="preserve"> - </v>
      </c>
      <c r="N11" s="229" t="str">
        <f>IF(ISNUMBER(H11+L11),H11+L11," - ")</f>
        <v xml:space="preserve"> - </v>
      </c>
      <c r="O11" s="337"/>
      <c r="P11" s="340" t="str">
        <f>IF(ISNUMBER((N11)/((BL11+BM11)/2)),(N11)/((BL11+BM11)/2)," - ")</f>
        <v xml:space="preserve"> - </v>
      </c>
      <c r="Q11" s="340" t="str">
        <f>IF(ISNUMBER((N11)/((BL11+BM11)/2)),(N11)/((BL11+BM11)/2)," - ")</f>
        <v xml:space="preserve"> - </v>
      </c>
      <c r="R11" s="230" t="str">
        <f>IF(ISNUMBER(Datos!CB11),Datos!CB11," - ")</f>
        <v xml:space="preserve"> - </v>
      </c>
      <c r="S11" s="228">
        <f>IF(ISNUMBER(Datos!BY11+Datos!BZ11),Datos!BY11+Datos!BZ11," - ")</f>
        <v>0</v>
      </c>
      <c r="T11" s="340">
        <f>IF(ISNUMBER((S11*factor_trimestre)/DatosB!CN11),(S11*factor_trimestre)/DatosB!CN11,"-")</f>
        <v>0</v>
      </c>
      <c r="U11" s="301"/>
      <c r="V11" s="340">
        <f>IF(ISNUMBER((U11*factor_trimestre)/DatosB!CN11),(U11*factor_trimestre)/DatosB!CN11,"-")</f>
        <v>0</v>
      </c>
      <c r="W11" s="228" t="str">
        <f>IF(ISNUMBER(IF(J_V="SI",Datos!K11,Datos!K11+Datos!AA11)-IF(Monitorios="SI",Datos!CC11,0)),
                          IF(J_V="SI",Datos!K11,Datos!K11+Datos!AA11)-IF(Monitorios="SI",Datos!CC11,0),
                          " - ")</f>
        <v xml:space="preserve"> - </v>
      </c>
      <c r="X11" s="229" t="str">
        <f>IF(ISNUMBER(Datos!Q11),Datos!Q11," - ")</f>
        <v xml:space="preserve"> - </v>
      </c>
      <c r="Y11" s="337">
        <f t="shared" si="0"/>
        <v>0</v>
      </c>
      <c r="Z11" s="338" t="str">
        <f>IF(ISNUMBER(Datos!CC11),Datos!CC11," - ")</f>
        <v xml:space="preserve"> - </v>
      </c>
      <c r="AA11" s="335" t="str">
        <f>IF(ISNUMBER(IF(J_V="SI",Datos!L11,Datos!L11+Datos!AB11)-IF(Monitorios="SI",Datos!CD11,0)),
                          IF(J_V="SI",Datos!L11,Datos!L11+Datos!AB11)-IF(Monitorios="SI",Datos!CD11,0),
                          " - ")</f>
        <v xml:space="preserve"> - </v>
      </c>
      <c r="AB11" s="337" t="str">
        <f>IF(ISNUMBER(Datos!R11),Datos!R11," - ")</f>
        <v xml:space="preserve"> - </v>
      </c>
      <c r="AC11" s="337" t="str">
        <f t="shared" si="1"/>
        <v xml:space="preserve"> - </v>
      </c>
      <c r="AD11" s="338" t="str">
        <f>IF(ISNUMBER(Datos!CD11),Datos!CD11," - ")</f>
        <v xml:space="preserve"> - </v>
      </c>
      <c r="AE11" s="232" t="str">
        <f>IF(ISNUMBER(Datos!BV11),Datos!BV11," - ")</f>
        <v xml:space="preserve"> - </v>
      </c>
      <c r="AF11" s="228" t="str">
        <f>IF(ISNUMBER(Datos!CK11),Datos!CK11," - ")</f>
        <v xml:space="preserve"> - </v>
      </c>
      <c r="AG11" s="301" t="str">
        <f>IF(ISNUMBER(Datos!CL11),Datos!CL11," - ")</f>
        <v xml:space="preserve"> - </v>
      </c>
      <c r="AH11" s="230" t="str">
        <f>IF(ISNUMBER(Datos!CM11),Datos!CM11," - ")</f>
        <v xml:space="preserve"> - </v>
      </c>
      <c r="AI11" s="228" t="str">
        <f>IF(ISNUMBER(Datos!M11),Datos!M11," - ")</f>
        <v xml:space="preserve"> - </v>
      </c>
      <c r="AJ11" s="234" t="str">
        <f>IF(ISNUMBER(Datos!BW11),Datos!BW11," - ")</f>
        <v xml:space="preserve"> - </v>
      </c>
      <c r="AK11" s="235" t="str">
        <f>IF(ISNUMBER(Datos!BX11),Datos!BX11," - ")</f>
        <v xml:space="preserve"> - </v>
      </c>
      <c r="AL11" s="246" t="str">
        <f>IF(ISNUMBER(NºAsuntos!G11/NºAsuntos!E11),NºAsuntos!G11/NºAsuntos!E11," - ")</f>
        <v xml:space="preserve"> - </v>
      </c>
      <c r="AM11" s="263" t="str">
        <f>IF(ISNUMBER(((NºAsuntos!I11/NºAsuntos!G11)*11)/factor_trimestre),((NºAsuntos!I11/NºAsuntos!G11)*11)/factor_trimestre," - ")</f>
        <v xml:space="preserve"> - </v>
      </c>
      <c r="AN11" s="247" t="str">
        <f>IF(ISNUMBER('Resol  Asuntos'!D11/NºAsuntos!G11),'Resol  Asuntos'!D11/NºAsuntos!G11," - ")</f>
        <v xml:space="preserve"> - </v>
      </c>
      <c r="AO11" s="248" t="str">
        <f>IF(ISNUMBER((NºAsuntos!C11+NºAsuntos!E11)/NºAsuntos!G11),(NºAsuntos!C11+NºAsuntos!E11)/NºAsuntos!G11," - ")</f>
        <v xml:space="preserve"> - </v>
      </c>
      <c r="AP11" s="233" t="str">
        <f t="shared" si="2"/>
        <v xml:space="preserve"> - </v>
      </c>
      <c r="AQ11" s="233" t="str">
        <f>IF(ISNUMBER((I11-W11+K11)/(F11)),(I11-W11+K11)/(F11)," - ")</f>
        <v xml:space="preserve"> - </v>
      </c>
      <c r="AR11" s="307" t="str">
        <f>IF(ISNUMBER((Datos!P11-Datos!Q11+M11)/(Datos!R11-Datos!P11+Datos!Q11-M11)),(Datos!P11-Datos!Q11+M11)/(Datos!R11-Datos!P11+Datos!Q11-M11)," - ")</f>
        <v xml:space="preserve"> - </v>
      </c>
      <c r="AS11" s="269" t="str">
        <f>IF(ISNUMBER(Datos!CS11),Datos!CS11," - ")</f>
        <v xml:space="preserve"> - </v>
      </c>
      <c r="AT11" s="269" t="str">
        <f>IF(ISNUMBER(Datos!CI11),Datos!CI11," - ")</f>
        <v xml:space="preserve"> - </v>
      </c>
      <c r="AU11" s="269" t="str">
        <f>IF(ISNUMBER(Datos!CJ11),Datos!CJ11," - ")</f>
        <v xml:space="preserve"> - </v>
      </c>
      <c r="AV11" s="269" t="str">
        <f>IF(ISNUMBER(Datos!CW11),Datos!CW11," - ")</f>
        <v xml:space="preserve"> - </v>
      </c>
      <c r="AW11" s="269" t="str">
        <f>IF(ISNUMBER(Datos!EV11),Datos!EV11," - ")</f>
        <v xml:space="preserve"> - </v>
      </c>
      <c r="AX11" s="269">
        <f>IF(ISNUMBER(Datos!CX11)," - ",Datos!CX11)</f>
        <v>0</v>
      </c>
      <c r="AY11" s="269" t="str">
        <f>IF(ISNUMBER(Datos!ET11),Datos!ET11," - ")</f>
        <v xml:space="preserve"> - </v>
      </c>
      <c r="AZ11" s="994" t="e">
        <f>(AY11/Datos!ER11)*factor_trimestre</f>
        <v>#VALUE!</v>
      </c>
      <c r="BF11" s="157">
        <f>Datos!BN11/factor_trimestre</f>
        <v>0</v>
      </c>
      <c r="BG11" s="157">
        <f>Datos!BO11/factor_trimestre</f>
        <v>0</v>
      </c>
      <c r="BH11" s="157">
        <f>Datos!BP11/factor_trimestre</f>
        <v>0</v>
      </c>
      <c r="BI11" s="157">
        <f>Datos!BQ11/factor_trimestre</f>
        <v>0</v>
      </c>
      <c r="BJ11" s="157">
        <f>Datos!BR11/factor_trimestre</f>
        <v>0</v>
      </c>
      <c r="BK11" s="157">
        <f>Datos!BS11/factor_trimestre</f>
        <v>0</v>
      </c>
      <c r="BL11" s="157">
        <f>Datos!BT11/factor_trimestre</f>
        <v>0</v>
      </c>
      <c r="BM11" s="157">
        <f>Datos!BU11/factor_trimestre</f>
        <v>0</v>
      </c>
    </row>
    <row r="12" spans="1:65" ht="15" thickBot="1">
      <c r="A12" s="180">
        <f>Datos!AO12</f>
        <v>2</v>
      </c>
      <c r="B12" s="278" t="s">
        <v>246</v>
      </c>
      <c r="C12" s="7" t="str">
        <f>Datos!A12</f>
        <v xml:space="preserve">Jdos. 1ª Instª. e Instr.                        </v>
      </c>
      <c r="D12" s="7"/>
      <c r="E12" s="1028">
        <f>IF(ISNUMBER(Datos!AQ12),Datos!AQ12," - ")</f>
        <v>2</v>
      </c>
      <c r="F12" s="228" t="str">
        <f>IF(ISNUMBER(AA12+W12-I12-K12),AA12+W12-I12-K12," - ")</f>
        <v xml:space="preserve"> - </v>
      </c>
      <c r="G12" s="336" t="str">
        <f>IF(ISNUMBER(IF(J_V="SI",Datos!I12,Datos!I12+Datos!Y12)-IF(Monitorios="SI",Datos!CA12,0)),
                          IF(J_V="SI",Datos!I12,Datos!I12+Datos!Y12)-IF(Monitorios="SI",Datos!CA12,0),
                          " - ")</f>
        <v xml:space="preserve"> - </v>
      </c>
      <c r="H12" s="228" t="str">
        <f>IF(ISNUMBER(Datos!DB12),Datos!DB12," - ")</f>
        <v xml:space="preserve"> - </v>
      </c>
      <c r="I12" s="229" t="str">
        <f>IF(ISNUMBER(Datos!DC12),Datos!DC12," - ")</f>
        <v xml:space="preserve"> - </v>
      </c>
      <c r="J12" s="229" t="str">
        <f>IF(ISNUMBER(Datos!DD12),Datos!DD12," - ")</f>
        <v xml:space="preserve"> - </v>
      </c>
      <c r="K12" s="229">
        <f>IF(ISNUMBER(Datos!DF12),Datos!DF12,0)</f>
        <v>0</v>
      </c>
      <c r="L12" s="229">
        <f>IF(ISNUMBER(Datos!P12),Datos!P12,0)</f>
        <v>245</v>
      </c>
      <c r="M12" s="229" t="str">
        <f>IF(ISNUMBER(Datos!DE12),Datos!DE12," - ")</f>
        <v xml:space="preserve"> - </v>
      </c>
      <c r="N12" s="229" t="str">
        <f>IF(ISNUMBER(H12+L12),H12+L12," - ")</f>
        <v xml:space="preserve"> - </v>
      </c>
      <c r="O12" s="315" t="e">
        <f ca="1">IF(ISNUMBER(INDIRECT("N"&amp;ROW()+salto-1)),N12+(INDIRECT("N"&amp;ROW()+salto-1))/9.15,N12/9.15+(INDIRECT("N"&amp;ROW()-salto+1)))</f>
        <v>#VALUE!</v>
      </c>
      <c r="P12" s="340" t="str">
        <f>IF(ISNUMBER((N12)/((BF12+BG12)/2)),(N12)/((BF12+BG12)/2)," - ")</f>
        <v xml:space="preserve"> - </v>
      </c>
      <c r="Q12" s="340" t="str">
        <f>IF(jurisdiccion="Jurisdicción Civil y Penal",IF(ISNUMBER((O12)/((BL12+BM12)/2)),(O12)/((BL12+BM12)/2)," - "),IF(ISNUMBER((N12)/((BF12+BG12)/2)),(N12)/((BF12+BG12)/2)," - "))</f>
        <v xml:space="preserve"> - </v>
      </c>
      <c r="R12" s="230" t="str">
        <f>IF(ISNUMBER(Datos!CB12),Datos!CB12," - ")</f>
        <v xml:space="preserve"> - </v>
      </c>
      <c r="S12" s="228" t="str">
        <f>IF(ISNUMBER(Datos!BY12),Datos!BY12," - ")</f>
        <v xml:space="preserve"> - </v>
      </c>
      <c r="T12" s="340" t="str">
        <f>IF(ISNUMBER((S12*factor_trimestre)/DatosB!CN12),(S12*factor_trimestre)/DatosB!CN12,"-")</f>
        <v>-</v>
      </c>
      <c r="U12" s="144" t="e">
        <f ca="1">IF(ISNUMBER(INDIRECT("S"&amp;ROW()+salto-1)),S12+(INDIRECT("S"&amp;ROW()+salto-1)),S12+(INDIRECT("S"&amp;ROW()-salto+1)))</f>
        <v>#VALUE!</v>
      </c>
      <c r="V12" s="340" t="str">
        <f ca="1">IF(ISNUMBER((U12*factor_trimestre)/DatosB!CN12),(U12*factor_trimestre)/DatosB!CN12,"-")</f>
        <v>-</v>
      </c>
      <c r="W12" s="228" t="str">
        <f>IF(ISNUMBER(IF(J_V="SI",Datos!K12,Datos!K12+Datos!AA12)-IF(Monitorios="SI",Datos!CC12,0)),
                          IF(J_V="SI",Datos!K12,Datos!K12+Datos!AA12)-IF(Monitorios="SI",Datos!CC12,0),
                          " - ")</f>
        <v xml:space="preserve"> - </v>
      </c>
      <c r="X12" s="229">
        <f>IF(ISNUMBER(Datos!Q12),Datos!Q12," - ")</f>
        <v>280</v>
      </c>
      <c r="Y12" s="337">
        <f t="shared" si="0"/>
        <v>280</v>
      </c>
      <c r="Z12" s="338" t="str">
        <f>IF(ISNUMBER(Datos!CC12),Datos!CC12," - ")</f>
        <v xml:space="preserve"> - </v>
      </c>
      <c r="AA12" s="335" t="str">
        <f>IF(ISNUMBER(IF(J_V="SI",Datos!L12,Datos!L12+Datos!AB12)-IF(Monitorios="SI",Datos!CD12,0)),
                          IF(J_V="SI",Datos!L12,Datos!L12+Datos!AB12)-IF(Monitorios="SI",Datos!CD12,0),
                          " - ")</f>
        <v xml:space="preserve"> - </v>
      </c>
      <c r="AB12" s="337">
        <f>IF(ISNUMBER(Datos!R12),Datos!R12," - ")</f>
        <v>1087</v>
      </c>
      <c r="AC12" s="337" t="str">
        <f t="shared" si="1"/>
        <v xml:space="preserve"> - </v>
      </c>
      <c r="AD12" s="338" t="str">
        <f>IF(ISNUMBER(Datos!CD12),Datos!CD12," - ")</f>
        <v xml:space="preserve"> - </v>
      </c>
      <c r="AE12" s="232" t="str">
        <f>IF(ISNUMBER(Datos!BV12),Datos!BV12," - ")</f>
        <v xml:space="preserve"> - </v>
      </c>
      <c r="AF12" s="228" t="str">
        <f>IF(ISNUMBER(Datos!CK12),Datos!CK12," - ")</f>
        <v xml:space="preserve"> - </v>
      </c>
      <c r="AG12" s="301" t="str">
        <f>IF(ISNUMBER(Datos!CL12),Datos!CL12," - ")</f>
        <v xml:space="preserve"> - </v>
      </c>
      <c r="AH12" s="230" t="str">
        <f>IF(ISNUMBER(Datos!CM12),Datos!CM12," - ")</f>
        <v xml:space="preserve"> - </v>
      </c>
      <c r="AI12" s="228">
        <f>IF(ISNUMBER(Datos!M12),Datos!M12," - ")</f>
        <v>237</v>
      </c>
      <c r="AJ12" s="232" t="str">
        <f>IF(ISNUMBER(Datos!BW12),Datos!BW12," - ")</f>
        <v xml:space="preserve"> - </v>
      </c>
      <c r="AK12" s="231" t="str">
        <f>IF(ISNUMBER(Datos!BX12),Datos!BX12," - ")</f>
        <v xml:space="preserve"> - </v>
      </c>
      <c r="AL12" s="246">
        <f>IF(ISNUMBER(NºAsuntos!G12/NºAsuntos!E12),NºAsuntos!G12/NºAsuntos!E12," - ")</f>
        <v>0.8189338235294118</v>
      </c>
      <c r="AM12" s="263">
        <f>IF(ISNUMBER(((NºAsuntos!I12/NºAsuntos!G12)*11)/factor_trimestre),((NºAsuntos!I12/NºAsuntos!G12)*11)/factor_trimestre," - ")</f>
        <v>8.8148148148148149</v>
      </c>
      <c r="AN12" s="247">
        <f>IF(ISNUMBER('Resol  Asuntos'!D12/NºAsuntos!G12),'Resol  Asuntos'!D12/NºAsuntos!G12," - ")</f>
        <v>0.265993265993266</v>
      </c>
      <c r="AO12" s="248">
        <f>IF(ISNUMBER((NºAsuntos!C12+NºAsuntos!E12)/NºAsuntos!G12),(NºAsuntos!C12+NºAsuntos!E12)/NºAsuntos!G12," - ")</f>
        <v>1.8013468013468013</v>
      </c>
      <c r="AP12" s="233" t="str">
        <f t="shared" si="2"/>
        <v xml:space="preserve"> - </v>
      </c>
      <c r="AQ12" s="233" t="str">
        <f>IF(ISNUMBER((I12-W12+K12)/(F12)),(I12-W12+K12)/(F12)," - ")</f>
        <v xml:space="preserve"> - </v>
      </c>
      <c r="AR12" s="307" t="str">
        <f>IF(ISNUMBER((Datos!P12-Datos!Q12+M12)/(Datos!R12-Datos!P12+Datos!Q12-M12)),(Datos!P12-Datos!Q12+M12)/(Datos!R12-Datos!P12+Datos!Q12-M12)," - ")</f>
        <v xml:space="preserve"> - </v>
      </c>
      <c r="AS12" s="269" t="str">
        <f>IF(ISNUMBER(Datos!CS12),Datos!CS12," - ")</f>
        <v xml:space="preserve"> - </v>
      </c>
      <c r="AT12" s="269" t="str">
        <f>IF(ISNUMBER(Datos!CI12),Datos!CI12," - ")</f>
        <v xml:space="preserve"> - </v>
      </c>
      <c r="AU12" s="269" t="str">
        <f>IF(ISNUMBER(Datos!CJ12),Datos!CJ12," - ")</f>
        <v xml:space="preserve"> - </v>
      </c>
      <c r="AV12" s="269" t="str">
        <f>IF(ISNUMBER(Datos!CW12),Datos!CW12," - ")</f>
        <v xml:space="preserve"> - </v>
      </c>
      <c r="AW12" s="269" t="str">
        <f>IF(ISNUMBER(Datos!EV12),Datos!EV12," - ")</f>
        <v xml:space="preserve"> - </v>
      </c>
      <c r="AX12" s="269">
        <f>IF(ISNUMBER(Datos!CX12)," - ",Datos!CX12)</f>
        <v>0</v>
      </c>
      <c r="AY12" s="269" t="str">
        <f>IF(ISNUMBER(Datos!ET12),Datos!ET12," - ")</f>
        <v xml:space="preserve"> - </v>
      </c>
      <c r="AZ12" s="994" t="e">
        <f>(AY12/Datos!ER12)*factor_trimestre</f>
        <v>#VALUE!</v>
      </c>
      <c r="BF12" s="157">
        <f>Datos!BN12/factor_trimestre</f>
        <v>0</v>
      </c>
      <c r="BG12" s="157">
        <f>Datos!BO12/factor_trimestre</f>
        <v>0</v>
      </c>
      <c r="BH12" s="157">
        <f>Datos!BP12/factor_trimestre</f>
        <v>0</v>
      </c>
      <c r="BI12" s="157">
        <f>Datos!BQ12/factor_trimestre</f>
        <v>0</v>
      </c>
      <c r="BJ12" s="157">
        <f>Datos!BR12/factor_trimestre</f>
        <v>0</v>
      </c>
      <c r="BK12" s="157">
        <f>Datos!BS12/factor_trimestre</f>
        <v>0</v>
      </c>
      <c r="BL12" s="157">
        <f>Datos!BT12/factor_trimestre</f>
        <v>0</v>
      </c>
      <c r="BM12" s="157">
        <f>Datos!BU12/factor_trimestre</f>
        <v>0</v>
      </c>
    </row>
    <row r="13" spans="1:65" ht="15.75" thickTop="1" thickBot="1">
      <c r="A13" s="181"/>
      <c r="B13" s="181"/>
      <c r="C13" s="866" t="str">
        <f>Datos!A13</f>
        <v>TOTAL</v>
      </c>
      <c r="D13" s="866"/>
      <c r="E13" s="1164">
        <f t="shared" ref="E13:O13" si="3">SUBTOTAL(9,E8:E12)</f>
        <v>2</v>
      </c>
      <c r="F13" s="868">
        <f t="shared" si="3"/>
        <v>9</v>
      </c>
      <c r="G13" s="869">
        <f t="shared" si="3"/>
        <v>9</v>
      </c>
      <c r="H13" s="868">
        <f t="shared" si="3"/>
        <v>0</v>
      </c>
      <c r="I13" s="870">
        <f t="shared" si="3"/>
        <v>0</v>
      </c>
      <c r="J13" s="870">
        <f t="shared" si="3"/>
        <v>0</v>
      </c>
      <c r="K13" s="870">
        <f t="shared" si="3"/>
        <v>0</v>
      </c>
      <c r="L13" s="870">
        <f t="shared" si="3"/>
        <v>249</v>
      </c>
      <c r="M13" s="870">
        <f t="shared" si="3"/>
        <v>0</v>
      </c>
      <c r="N13" s="870">
        <f t="shared" si="3"/>
        <v>0</v>
      </c>
      <c r="O13" s="871" t="e">
        <f t="shared" ca="1" si="3"/>
        <v>#VALUE!</v>
      </c>
      <c r="P13" s="871"/>
      <c r="Q13" s="872" t="str">
        <f>IF(ISNUMBER((N13*factor_trimestre)/((Datos!BT13+Datos!BU13)/2)),(N13*factor_trimestre)/((Datos!BT13+Datos!BU13)/2)," - ")</f>
        <v xml:space="preserve"> - </v>
      </c>
      <c r="R13" s="873">
        <f>SUBTOTAL(9,R8:R12)</f>
        <v>0</v>
      </c>
      <c r="S13" s="868">
        <f>SUBTOTAL(9,S8:S12)</f>
        <v>0</v>
      </c>
      <c r="T13" s="874" t="str">
        <f>IF(ISNUMBER((S13*factor_trimestre)/DatosB!BM13),(S13*factor_trimestre)/DatosB!BM13,"-")</f>
        <v>-</v>
      </c>
      <c r="U13" s="868" t="e">
        <f ca="1">SUBTOTAL(9,U8:U12)</f>
        <v>#VALUE!</v>
      </c>
      <c r="V13" s="874" t="str">
        <f ca="1">IF(ISNUMBER((U13*factor_trimestre)/DatosB!CN13),(U13*factor_trimestre)/DatosB!CN13,"-")</f>
        <v>-</v>
      </c>
      <c r="W13" s="870">
        <f t="shared" ref="W13:AJ13" si="4">SUBTOTAL(9,W8:W12)</f>
        <v>8</v>
      </c>
      <c r="X13" s="870">
        <f t="shared" si="4"/>
        <v>280</v>
      </c>
      <c r="Y13" s="871">
        <f t="shared" si="4"/>
        <v>288</v>
      </c>
      <c r="Z13" s="871">
        <f t="shared" si="4"/>
        <v>0</v>
      </c>
      <c r="AA13" s="871">
        <f t="shared" si="4"/>
        <v>8</v>
      </c>
      <c r="AB13" s="871">
        <f t="shared" si="4"/>
        <v>1092</v>
      </c>
      <c r="AC13" s="871">
        <f t="shared" si="4"/>
        <v>13</v>
      </c>
      <c r="AD13" s="871">
        <f t="shared" si="4"/>
        <v>0</v>
      </c>
      <c r="AE13" s="875">
        <f t="shared" si="4"/>
        <v>0</v>
      </c>
      <c r="AF13" s="868">
        <f t="shared" si="4"/>
        <v>0</v>
      </c>
      <c r="AG13" s="876">
        <f t="shared" si="4"/>
        <v>0</v>
      </c>
      <c r="AH13" s="873">
        <f t="shared" si="4"/>
        <v>0</v>
      </c>
      <c r="AI13" s="868">
        <f t="shared" si="4"/>
        <v>241</v>
      </c>
      <c r="AJ13" s="870">
        <f t="shared" si="4"/>
        <v>0</v>
      </c>
      <c r="AK13" s="873">
        <f>SUBTOTAL(9,AK9:AK12)</f>
        <v>0</v>
      </c>
      <c r="AL13" s="877">
        <f>IF(ISNUMBER(NºAsuntos!G13/NºAsuntos!E13),NºAsuntos!G13/NºAsuntos!E13," - ")</f>
        <v>0.82100456621004569</v>
      </c>
      <c r="AM13" s="877">
        <f>IF(ISNUMBER(((NºAsuntos!I13/NºAsuntos!G13)*11)/factor_trimestre),((NºAsuntos!I13/NºAsuntos!G13)*11)/factor_trimestre," - ")</f>
        <v>8.8342602892102331</v>
      </c>
      <c r="AN13" s="878">
        <f>IF(ISNUMBER('Resol  Asuntos'!D13/NºAsuntos!G13),'Resol  Asuntos'!D13/NºAsuntos!G13," - ")</f>
        <v>0.26807563959955505</v>
      </c>
      <c r="AO13" s="879">
        <f>IF(ISNUMBER((NºAsuntos!C13+NºAsuntos!E13)/NºAsuntos!G13),(NºAsuntos!C13+NºAsuntos!E13)/NºAsuntos!G13," - ")</f>
        <v>1.8031145717463848</v>
      </c>
      <c r="AP13" s="880" t="str">
        <f t="shared" si="2"/>
        <v xml:space="preserve"> - </v>
      </c>
      <c r="AQ13" s="880">
        <f>IF(ISNUMBER((H13-W13+K13)/(F13)),(H13-W13+K13)/(F13)," - ")</f>
        <v>-0.88888888888888884</v>
      </c>
      <c r="AR13" s="881">
        <f>IF(ISNUMBER((Datos!P13-Datos!Q13)/(Datos!R13-Datos!P13+Datos!Q13)),(Datos!P13-Datos!Q13)/(Datos!R13-Datos!P13+Datos!Q13)," - ")</f>
        <v>-2.7604630454140695E-2</v>
      </c>
      <c r="AS13" s="867">
        <f>SUBTOTAL(9,AS8:AS12)</f>
        <v>0</v>
      </c>
      <c r="AT13" s="867">
        <f>SUBTOTAL(9,AT8:AT12)</f>
        <v>0</v>
      </c>
      <c r="AU13" s="867">
        <f>SUBTOTAL(9,AU8:AU12)</f>
        <v>0</v>
      </c>
      <c r="AV13" s="867">
        <f>SUBTOTAL(9,AV8:AV12)</f>
        <v>0</v>
      </c>
      <c r="AW13" s="867">
        <f>SUBTOTAL(9,AW8:AW12)</f>
        <v>0</v>
      </c>
      <c r="AX13" s="882"/>
      <c r="AY13" s="870">
        <f>SUBTOTAL(9,AY8:AY12)</f>
        <v>0</v>
      </c>
      <c r="AZ13" s="872" t="e">
        <f>SUBTOTAL(9,AZ8:AZ12)</f>
        <v>#VALUE!</v>
      </c>
      <c r="BF13" s="154">
        <f t="shared" ref="BF13:BM13" si="5">SUM(BF8:BF12)</f>
        <v>0</v>
      </c>
      <c r="BG13" s="154">
        <f t="shared" si="5"/>
        <v>0</v>
      </c>
      <c r="BH13" s="154">
        <f t="shared" si="5"/>
        <v>0</v>
      </c>
      <c r="BI13" s="154">
        <f t="shared" si="5"/>
        <v>0</v>
      </c>
      <c r="BJ13" s="154">
        <f t="shared" si="5"/>
        <v>0</v>
      </c>
      <c r="BK13" s="154">
        <f t="shared" si="5"/>
        <v>0</v>
      </c>
      <c r="BL13" s="154">
        <f t="shared" si="5"/>
        <v>0</v>
      </c>
      <c r="BM13" s="154">
        <f t="shared" si="5"/>
        <v>0</v>
      </c>
    </row>
    <row r="14" spans="1:65" ht="15" thickTop="1">
      <c r="A14" s="182"/>
      <c r="B14" s="182"/>
      <c r="C14" s="289" t="str">
        <f>Datos!A14</f>
        <v xml:space="preserve">Jurisdicción Penal ( 2 ):                      </v>
      </c>
      <c r="D14" s="289"/>
      <c r="E14" s="290"/>
      <c r="F14" s="237"/>
      <c r="G14" s="237"/>
      <c r="H14" s="219"/>
      <c r="I14" s="220"/>
      <c r="J14" s="220"/>
      <c r="K14" s="220"/>
      <c r="L14" s="220"/>
      <c r="M14" s="220"/>
      <c r="N14" s="220"/>
      <c r="O14" s="220"/>
      <c r="P14" s="220"/>
      <c r="Q14" s="347"/>
      <c r="R14" s="220"/>
      <c r="S14" s="271"/>
      <c r="T14" s="347"/>
      <c r="U14" s="284"/>
      <c r="V14" s="348"/>
      <c r="W14" s="219"/>
      <c r="X14" s="220"/>
      <c r="Y14" s="220"/>
      <c r="Z14" s="220"/>
      <c r="AA14" s="219"/>
      <c r="AB14" s="220"/>
      <c r="AC14" s="220"/>
      <c r="AD14" s="220"/>
      <c r="AE14" s="339"/>
      <c r="AF14" s="237"/>
      <c r="AG14" s="238"/>
      <c r="AH14" s="239"/>
      <c r="AI14" s="237"/>
      <c r="AJ14" s="237"/>
      <c r="AK14" s="239"/>
      <c r="AL14" s="271"/>
      <c r="AM14" s="284"/>
      <c r="AN14" s="284"/>
      <c r="AO14" s="241"/>
      <c r="AP14" s="290"/>
      <c r="AQ14" s="290"/>
      <c r="AR14" s="308"/>
      <c r="AS14" s="312"/>
      <c r="AT14" s="290"/>
      <c r="AU14" s="290"/>
      <c r="AV14" s="290"/>
      <c r="AW14" s="290"/>
      <c r="AX14" s="303"/>
      <c r="AY14" s="303"/>
      <c r="AZ14" s="995"/>
      <c r="BF14" s="155"/>
      <c r="BG14" s="155"/>
      <c r="BH14" s="155"/>
      <c r="BI14" s="155"/>
      <c r="BJ14" s="155"/>
      <c r="BK14" s="155"/>
      <c r="BL14" s="155"/>
      <c r="BM14" s="155"/>
    </row>
    <row r="15" spans="1:65" ht="14.25">
      <c r="A15" s="180">
        <f>Datos!AO15</f>
        <v>0</v>
      </c>
      <c r="B15" s="278" t="s">
        <v>396</v>
      </c>
      <c r="C15" s="163" t="str">
        <f>Datos!A15</f>
        <v xml:space="preserve">Jdos. Instrucción                               </v>
      </c>
      <c r="D15" s="163"/>
      <c r="E15" s="1028">
        <f>IF(ISNUMBER(Datos!AQ15),Datos!AQ15," - ")</f>
        <v>0</v>
      </c>
      <c r="F15" s="228" t="str">
        <f>IF(ISNUMBER(AA15+W15-Datos!J15-K15),AA15+W15-Datos!J15-K15," - ")</f>
        <v xml:space="preserve"> - </v>
      </c>
      <c r="G15" s="336" t="str">
        <f>IF(ISNUMBER(IF(D_I="SI",Datos!I15,Datos!I15+Datos!AC15)),IF(D_I="SI",Datos!I15,Datos!I15+Datos!AC15)," - ")</f>
        <v xml:space="preserve"> - </v>
      </c>
      <c r="H15" s="228" t="str">
        <f>IF(ISNUMBER(Datos!DB15),Datos!DB15," - ")</f>
        <v xml:space="preserve"> - </v>
      </c>
      <c r="I15" s="229" t="str">
        <f>IF(ISNUMBER(Datos!DC15),Datos!DC15," - ")</f>
        <v xml:space="preserve"> - </v>
      </c>
      <c r="J15" s="229" t="str">
        <f>IF(ISNUMBER(Datos!DD15),Datos!DD15," - ")</f>
        <v xml:space="preserve"> - </v>
      </c>
      <c r="K15" s="229">
        <f>IF(ISNUMBER(Datos!DF15),Datos!DF15,0)</f>
        <v>0</v>
      </c>
      <c r="L15" s="229">
        <f>IF(ISNUMBER(Datos!P15),Datos!P15,0)</f>
        <v>0</v>
      </c>
      <c r="M15" s="229" t="str">
        <f>IF(ISNUMBER(Datos!DE15),Datos!DE15," - ")</f>
        <v xml:space="preserve"> - </v>
      </c>
      <c r="N15" s="229" t="str">
        <f>IF(ISNUMBER(H15),H15," - ")</f>
        <v xml:space="preserve"> - </v>
      </c>
      <c r="O15" s="337"/>
      <c r="P15" s="340" t="str">
        <f>IF(ISNUMBER((N15)/((BL15+BM15)/2)),(N15)/((BL15+BM15)/2)," - ")</f>
        <v xml:space="preserve"> - </v>
      </c>
      <c r="Q15" s="340" t="str">
        <f>IF(ISNUMBER((N15)/((BL15+BM15)/2)),(N15)/((BL15+BM15)/2)," - ")</f>
        <v xml:space="preserve"> - </v>
      </c>
      <c r="R15" s="230" t="str">
        <f>IF(ISNUMBER(Datos!CB15),Datos!CB15," - ")</f>
        <v xml:space="preserve"> - </v>
      </c>
      <c r="S15" s="228">
        <f>IF(ISNUMBER(Datos!BY15+Datos!BZ15*1.16),Datos!BY15+Datos!BZ15*1.16," - ")</f>
        <v>0</v>
      </c>
      <c r="T15" s="340">
        <f>IF(ISNUMBER((S15*factor_trimestre)/DatosB!CN15),(S15*factor_trimestre)/DatosB!CN15,"-")</f>
        <v>0</v>
      </c>
      <c r="U15" s="301"/>
      <c r="V15" s="340">
        <f>IF(ISNUMBER((U15*factor_trimestre)/DatosB!CN15),(U15*factor_trimestre)/DatosB!CN15,"-")</f>
        <v>0</v>
      </c>
      <c r="W15" s="228" t="str">
        <f>IF(ISNUMBER(IF(D_I="SI",Datos!K15,Datos!K15+Datos!AE15)),IF(D_I="SI",Datos!K15,Datos!K15+Datos!AE15)," - ")</f>
        <v xml:space="preserve"> - </v>
      </c>
      <c r="X15" s="229" t="str">
        <f>IF(ISNUMBER(Datos!Q15),Datos!Q15," - ")</f>
        <v xml:space="preserve"> - </v>
      </c>
      <c r="Y15" s="337">
        <f>SUM(W15)</f>
        <v>0</v>
      </c>
      <c r="Z15" s="338" t="str">
        <f>IF(ISNUMBER(Datos!CC15),Datos!CC15," - ")</f>
        <v xml:space="preserve"> - </v>
      </c>
      <c r="AA15" s="335" t="str">
        <f>IF(ISNUMBER(IF(D_I="SI",Datos!L15,Datos!L15+Datos!AF15)),IF(D_I="SI",Datos!L15,Datos!L15+Datos!AF15)," - ")</f>
        <v xml:space="preserve"> - </v>
      </c>
      <c r="AB15" s="337" t="str">
        <f>IF(ISNUMBER(Datos!R15),Datos!R15," - ")</f>
        <v xml:space="preserve"> - </v>
      </c>
      <c r="AC15" s="337" t="str">
        <f t="shared" ref="AC15:AC17" si="6">IF(ISNUMBER(AA15+AB15),AA15+AB15," - ")</f>
        <v xml:space="preserve"> - </v>
      </c>
      <c r="AD15" s="338" t="str">
        <f>IF(ISNUMBER(Datos!CD15),Datos!CD15," - ")</f>
        <v xml:space="preserve"> - </v>
      </c>
      <c r="AE15" s="232" t="str">
        <f>IF(ISNUMBER(Datos!BV15),Datos!BV15," - ")</f>
        <v xml:space="preserve"> - </v>
      </c>
      <c r="AF15" s="228" t="str">
        <f>IF(ISNUMBER(Datos!CK15),Datos!CK15," - ")</f>
        <v xml:space="preserve"> - </v>
      </c>
      <c r="AG15" s="301" t="str">
        <f>IF(ISNUMBER(Datos!CL15),Datos!CL15," - ")</f>
        <v xml:space="preserve"> - </v>
      </c>
      <c r="AH15" s="230" t="str">
        <f>IF(ISNUMBER(Datos!CM15),Datos!CM15," - ")</f>
        <v xml:space="preserve"> - </v>
      </c>
      <c r="AI15" s="228" t="str">
        <f>IF(ISNUMBER(Datos!M15),Datos!M15," - ")</f>
        <v xml:space="preserve"> - </v>
      </c>
      <c r="AJ15" s="234" t="str">
        <f>IF(ISNUMBER(Datos!BW15),Datos!BW15," - ")</f>
        <v xml:space="preserve"> - </v>
      </c>
      <c r="AK15" s="235" t="str">
        <f>IF(ISNUMBER(Datos!BX15),Datos!BX15," - ")</f>
        <v xml:space="preserve"> - </v>
      </c>
      <c r="AL15" s="246" t="str">
        <f>IF(ISNUMBER(NºAsuntos!G15/NºAsuntos!E15),NºAsuntos!G15/NºAsuntos!E15," - ")</f>
        <v xml:space="preserve"> - </v>
      </c>
      <c r="AM15" s="263" t="str">
        <f>IF(ISNUMBER(((NºAsuntos!I15/NºAsuntos!G15)*11)/factor_trimestre),((NºAsuntos!I15/NºAsuntos!G15)*11)/factor_trimestre," - ")</f>
        <v xml:space="preserve"> - </v>
      </c>
      <c r="AN15" s="247" t="str">
        <f>IF(ISNUMBER('Resol  Asuntos'!D15/NºAsuntos!G15),'Resol  Asuntos'!D15/NºAsuntos!G15," - ")</f>
        <v xml:space="preserve"> - </v>
      </c>
      <c r="AO15" s="248" t="str">
        <f>IF(ISNUMBER((NºAsuntos!C15+NºAsuntos!E15)/NºAsuntos!G15),(NºAsuntos!C15+NºAsuntos!E15)/NºAsuntos!G15," - ")</f>
        <v xml:space="preserve"> - </v>
      </c>
      <c r="AP15" s="233" t="str">
        <f t="shared" si="2"/>
        <v xml:space="preserve"> - </v>
      </c>
      <c r="AQ15" s="233" t="str">
        <f>IF(ISNUMBER((I15-W15+K15)/(F15)),(I15-W15+K15)/(F15)," - ")</f>
        <v xml:space="preserve"> - </v>
      </c>
      <c r="AR15" s="307" t="str">
        <f>IF(ISNUMBER((Datos!P15-Datos!Q15+M15)/(Datos!R15-Datos!P15+Datos!Q15-M15)),(Datos!P15-Datos!Q15+M15)/(Datos!R15-Datos!P15+Datos!Q15-M15)," - ")</f>
        <v xml:space="preserve"> - </v>
      </c>
      <c r="AS15" s="269" t="str">
        <f>IF(ISNUMBER(Datos!CS15),Datos!CS15," - ")</f>
        <v xml:space="preserve"> - </v>
      </c>
      <c r="AT15" s="269" t="str">
        <f>IF(ISNUMBER(Datos!CI15),Datos!CI15," - ")</f>
        <v xml:space="preserve"> - </v>
      </c>
      <c r="AU15" s="269" t="str">
        <f>IF(ISNUMBER(Datos!CJ15),Datos!CJ15," - ")</f>
        <v xml:space="preserve"> - </v>
      </c>
      <c r="AV15" s="269" t="str">
        <f>IF(ISNUMBER(Datos!CW15),Datos!CW15," - ")</f>
        <v xml:space="preserve"> - </v>
      </c>
      <c r="AW15" s="269" t="str">
        <f>IF(ISNUMBER(Datos!EV15),Datos!EV15," - ")</f>
        <v xml:space="preserve"> - </v>
      </c>
      <c r="AX15" s="269">
        <f>IF(ISNUMBER(Datos!CX15)," - ",Datos!CX15)</f>
        <v>0</v>
      </c>
      <c r="AY15" s="269" t="str">
        <f>IF(ISNUMBER(Datos!ET15),Datos!ET15," - ")</f>
        <v xml:space="preserve"> - </v>
      </c>
      <c r="AZ15" s="994" t="e">
        <f>(AY15/Datos!ER15)*factor_trimestre</f>
        <v>#VALUE!</v>
      </c>
      <c r="BF15" s="157">
        <f>Datos!BN15/factor_trimestre</f>
        <v>0</v>
      </c>
      <c r="BG15" s="157">
        <f>Datos!BO15/factor_trimestre</f>
        <v>0</v>
      </c>
      <c r="BH15" s="157">
        <f>Datos!BP15/factor_trimestre</f>
        <v>0</v>
      </c>
      <c r="BI15" s="157">
        <f>Datos!BQ15/factor_trimestre</f>
        <v>0</v>
      </c>
      <c r="BJ15" s="157">
        <f>Datos!BR15/factor_trimestre</f>
        <v>0</v>
      </c>
      <c r="BK15" s="157">
        <f>Datos!BS15/factor_trimestre</f>
        <v>0</v>
      </c>
      <c r="BL15" s="157">
        <f>Datos!BT15/factor_trimestre</f>
        <v>0</v>
      </c>
      <c r="BM15" s="157">
        <f>Datos!BU15/factor_trimestre</f>
        <v>0</v>
      </c>
    </row>
    <row r="16" spans="1:65" ht="14.25">
      <c r="A16" s="180">
        <f>Datos!AO16</f>
        <v>2</v>
      </c>
      <c r="B16" s="278" t="s">
        <v>396</v>
      </c>
      <c r="C16" s="163" t="str">
        <f>Datos!A16</f>
        <v xml:space="preserve">Jdos. 1ª Instª. e Instr.                        </v>
      </c>
      <c r="D16" s="163"/>
      <c r="E16" s="1028">
        <f>IF(ISNUMBER(Datos!AQ16),Datos!AQ16," - ")</f>
        <v>2</v>
      </c>
      <c r="F16" s="228">
        <f>IF(ISNUMBER(AA16+W16-Datos!J16-K16),AA16+W16-Datos!J16-K16," - ")</f>
        <v>206</v>
      </c>
      <c r="G16" s="336">
        <f>IF(ISNUMBER(IF(D_I="SI",Datos!I16,Datos!I16+Datos!AC16)),IF(D_I="SI",Datos!I16,Datos!I16+Datos!AC16)," - ")</f>
        <v>201</v>
      </c>
      <c r="H16" s="228" t="str">
        <f>IF(ISNUMBER(Datos!DB16),Datos!DB16," - ")</f>
        <v xml:space="preserve"> - </v>
      </c>
      <c r="I16" s="229" t="str">
        <f>IF(ISNUMBER(Datos!DC16),Datos!DC16," - ")</f>
        <v xml:space="preserve"> - </v>
      </c>
      <c r="J16" s="229" t="str">
        <f>IF(ISNUMBER(Datos!DD16),Datos!DD16," - ")</f>
        <v xml:space="preserve"> - </v>
      </c>
      <c r="K16" s="229">
        <f>IF(ISNUMBER(Datos!DF16),Datos!DF16,0)</f>
        <v>0</v>
      </c>
      <c r="L16" s="229">
        <f>IF(ISNUMBER(Datos!P16),Datos!P16,0)</f>
        <v>32</v>
      </c>
      <c r="M16" s="229" t="str">
        <f>IF(ISNUMBER(Datos!DE16),Datos!DE16," - ")</f>
        <v xml:space="preserve"> - </v>
      </c>
      <c r="N16" s="229" t="str">
        <f>IF(ISNUMBER(H16),H16," - ")</f>
        <v xml:space="preserve"> - </v>
      </c>
      <c r="O16" s="315" t="e">
        <f ca="1">IF(ISNUMBER(INDIRECT("N"&amp;ROW()+salto-1)),N16+(INDIRECT("N"&amp;ROW()+salto-1))/9.15,N16/9.15+(INDIRECT("N"&amp;ROW()-salto+1)))</f>
        <v>#VALUE!</v>
      </c>
      <c r="P16" s="340" t="str">
        <f>IF(ISNUMBER((N16)/((BF16+BG16)/2)),(N16)/((BF16+BG16)/2)," - ")</f>
        <v xml:space="preserve"> - </v>
      </c>
      <c r="Q16" s="340" t="str">
        <f>IF(jurisdiccion="Jurisdicción Civil y Penal",IF(ISNUMBER((O16)/((BL16+BM16)/2)),(O16)/((BL16+BM16)/2)," - "),IF(ISNUMBER((N16)/((BF16+BG16)/2)),(N16)/((BF16+BG16)/2)," - "))</f>
        <v xml:space="preserve"> - </v>
      </c>
      <c r="R16" s="230" t="str">
        <f>IF(ISNUMBER(Datos!CB16),Datos!CB16," - ")</f>
        <v xml:space="preserve"> - </v>
      </c>
      <c r="S16" s="228" t="str">
        <f>IF(ISNUMBER(Datos!BY16),Datos!BY16," - ")</f>
        <v xml:space="preserve"> - </v>
      </c>
      <c r="T16" s="340" t="str">
        <f>IF(ISNUMBER((S16*factor_trimestre)/DatosB!CN16),(S16*factor_trimestre)/DatosB!CN16,"-")</f>
        <v>-</v>
      </c>
      <c r="U16" s="144" t="e">
        <f ca="1">IF(ISNUMBER(INDIRECT("S"&amp;ROW()+salto-1)),S16+(INDIRECT("S"&amp;ROW()+salto-1)),S16+(INDIRECT("S"&amp;ROW()-salto+1)))</f>
        <v>#VALUE!</v>
      </c>
      <c r="V16" s="340" t="str">
        <f ca="1">IF(ISNUMBER((U16*factor_trimestre)/DatosB!CN16),(U16*factor_trimestre)/DatosB!CN16,"-")</f>
        <v>-</v>
      </c>
      <c r="W16" s="228">
        <f>IF(ISNUMBER(IF(D_I="SI",Datos!K16,Datos!K16+Datos!AE16)),IF(D_I="SI",Datos!K16,Datos!K16+Datos!AE16)," - ")</f>
        <v>882</v>
      </c>
      <c r="X16" s="229">
        <f>IF(ISNUMBER(Datos!Q16),Datos!Q16," - ")</f>
        <v>26</v>
      </c>
      <c r="Y16" s="337">
        <f t="shared" ref="Y16:Y17" si="7">SUM(W16:X16)</f>
        <v>908</v>
      </c>
      <c r="Z16" s="338" t="str">
        <f>IF(ISNUMBER(Datos!CC16),Datos!CC16," - ")</f>
        <v xml:space="preserve"> - </v>
      </c>
      <c r="AA16" s="335">
        <f>IF(ISNUMBER(IF(D_I="SI",Datos!L16,Datos!L16+Datos!AF16)),IF(D_I="SI",Datos!L16,Datos!L16+Datos!AF16)," - ")</f>
        <v>263</v>
      </c>
      <c r="AB16" s="337">
        <f>IF(ISNUMBER(Datos!R16),Datos!R16," - ")</f>
        <v>48</v>
      </c>
      <c r="AC16" s="337">
        <f t="shared" si="6"/>
        <v>311</v>
      </c>
      <c r="AD16" s="338" t="str">
        <f>IF(ISNUMBER(Datos!CD16),Datos!CD16," - ")</f>
        <v xml:space="preserve"> - </v>
      </c>
      <c r="AE16" s="232" t="str">
        <f>IF(ISNUMBER(Datos!BV16),Datos!BV16," - ")</f>
        <v xml:space="preserve"> - </v>
      </c>
      <c r="AF16" s="228" t="str">
        <f>IF(ISNUMBER(Datos!CK16),Datos!CK16," - ")</f>
        <v xml:space="preserve"> - </v>
      </c>
      <c r="AG16" s="301" t="str">
        <f>IF(ISNUMBER(Datos!CL16),Datos!CL16," - ")</f>
        <v xml:space="preserve"> - </v>
      </c>
      <c r="AH16" s="230" t="str">
        <f>IF(ISNUMBER(Datos!CM16),Datos!CM16," - ")</f>
        <v xml:space="preserve"> - </v>
      </c>
      <c r="AI16" s="228">
        <f>IF(ISNUMBER(Datos!M16),Datos!M16," - ")</f>
        <v>120</v>
      </c>
      <c r="AJ16" s="234" t="str">
        <f>IF(ISNUMBER(Datos!BW16),Datos!BW16," - ")</f>
        <v xml:space="preserve"> - </v>
      </c>
      <c r="AK16" s="235" t="str">
        <f>IF(ISNUMBER(Datos!BX16),Datos!BX16," - ")</f>
        <v xml:space="preserve"> - </v>
      </c>
      <c r="AL16" s="246">
        <f>IF(ISNUMBER(NºAsuntos!G16/NºAsuntos!E16),NºAsuntos!G16/NºAsuntos!E16," - ")</f>
        <v>0.93929712460063897</v>
      </c>
      <c r="AM16" s="263">
        <f>IF(ISNUMBER(((NºAsuntos!I16/NºAsuntos!G16)*11)/factor_trimestre),((NºAsuntos!I16/NºAsuntos!G16)*11)/factor_trimestre," - ")</f>
        <v>3.2800453514739227</v>
      </c>
      <c r="AN16" s="247">
        <f>IF(ISNUMBER('Resol  Asuntos'!D16/NºAsuntos!G16),'Resol  Asuntos'!D16/NºAsuntos!G16," - ")</f>
        <v>0.1360544217687075</v>
      </c>
      <c r="AO16" s="248">
        <f>IF(ISNUMBER((NºAsuntos!C16+NºAsuntos!E16)/NºAsuntos!G16),(NºAsuntos!C16+NºAsuntos!E16)/NºAsuntos!G16," - ")</f>
        <v>1.2925170068027212</v>
      </c>
      <c r="AP16" s="233" t="str">
        <f t="shared" si="2"/>
        <v xml:space="preserve"> - </v>
      </c>
      <c r="AQ16" s="233" t="str">
        <f>IF(ISNUMBER((I16-W16+K16)/(F16)),(I16-W16+K16)/(F16)," - ")</f>
        <v xml:space="preserve"> - </v>
      </c>
      <c r="AR16" s="307" t="str">
        <f>IF(ISNUMBER((Datos!P16-Datos!Q16+M16)/(Datos!R16-Datos!P16+Datos!Q16-M16)),(Datos!P16-Datos!Q16+M16)/(Datos!R16-Datos!P16+Datos!Q16-M16)," - ")</f>
        <v xml:space="preserve"> - </v>
      </c>
      <c r="AS16" s="269" t="str">
        <f>IF(ISNUMBER(Datos!CS16),Datos!CS16," - ")</f>
        <v xml:space="preserve"> - </v>
      </c>
      <c r="AT16" s="269" t="str">
        <f>IF(ISNUMBER(Datos!CI16),Datos!CI16," - ")</f>
        <v xml:space="preserve"> - </v>
      </c>
      <c r="AU16" s="269" t="str">
        <f>IF(ISNUMBER(Datos!CJ16),Datos!CJ16," - ")</f>
        <v xml:space="preserve"> - </v>
      </c>
      <c r="AV16" s="269" t="str">
        <f>IF(ISNUMBER(Datos!CW16),Datos!CW16," - ")</f>
        <v xml:space="preserve"> - </v>
      </c>
      <c r="AW16" s="269" t="str">
        <f>IF(ISNUMBER(Datos!EV16),Datos!EV16," - ")</f>
        <v xml:space="preserve"> - </v>
      </c>
      <c r="AX16" s="269">
        <f>IF(ISNUMBER(Datos!CX16)," - ",Datos!CX16)</f>
        <v>0</v>
      </c>
      <c r="AY16" s="269" t="str">
        <f>IF(ISNUMBER(Datos!ET16),Datos!ET16," - ")</f>
        <v xml:space="preserve"> - </v>
      </c>
      <c r="AZ16" s="994" t="e">
        <f>(AY16/Datos!ER16)*factor_trimestre</f>
        <v>#VALUE!</v>
      </c>
      <c r="BF16" s="157">
        <f>Datos!BN16/factor_trimestre</f>
        <v>0</v>
      </c>
      <c r="BG16" s="157">
        <f>Datos!BO16/factor_trimestre</f>
        <v>0</v>
      </c>
      <c r="BH16" s="157">
        <f>Datos!BP16/factor_trimestre</f>
        <v>0</v>
      </c>
      <c r="BI16" s="157">
        <f>Datos!BQ16/factor_trimestre</f>
        <v>0</v>
      </c>
      <c r="BJ16" s="157">
        <f>Datos!BR16/factor_trimestre</f>
        <v>0</v>
      </c>
      <c r="BK16" s="157">
        <f>Datos!BS16/factor_trimestre</f>
        <v>0</v>
      </c>
      <c r="BL16" s="157">
        <f>Datos!BT16/factor_trimestre</f>
        <v>0</v>
      </c>
      <c r="BM16" s="157">
        <f>Datos!BU16/factor_trimestre</f>
        <v>0</v>
      </c>
    </row>
    <row r="17" spans="1:65" ht="15" thickBot="1">
      <c r="A17" s="180">
        <f>Datos!AO17</f>
        <v>1</v>
      </c>
      <c r="B17" s="278" t="s">
        <v>396</v>
      </c>
      <c r="C17" s="7" t="str">
        <f>Datos!A17</f>
        <v>Jdos. Violencia contra la mujer</v>
      </c>
      <c r="D17" s="7"/>
      <c r="E17" s="1028">
        <f>IF(ISNUMBER(Datos!AQ17),Datos!AQ17," - ")</f>
        <v>0</v>
      </c>
      <c r="F17" s="228" t="str">
        <f>IF(ISNUMBER(AA17+W17-H17-K17),AA17+W17-H17-K17," - ")</f>
        <v xml:space="preserve"> - </v>
      </c>
      <c r="G17" s="336">
        <f>IF(ISNUMBER(IF(D_I="SI",Datos!I17,Datos!I17+Datos!AC17)),IF(D_I="SI",Datos!I17,Datos!I17+Datos!AC17)," - ")</f>
        <v>10</v>
      </c>
      <c r="H17" s="228" t="str">
        <f>IF(ISNUMBER(Datos!DB17),Datos!DB17," - ")</f>
        <v xml:space="preserve"> - </v>
      </c>
      <c r="I17" s="229" t="str">
        <f>IF(ISNUMBER(Datos!DC17),Datos!DC17," - ")</f>
        <v xml:space="preserve"> - </v>
      </c>
      <c r="J17" s="229" t="str">
        <f>IF(ISNUMBER(Datos!DD17),Datos!DD17," - ")</f>
        <v xml:space="preserve"> - </v>
      </c>
      <c r="K17" s="229">
        <f>IF(ISNUMBER(Datos!DF17),Datos!DF17,0)</f>
        <v>0</v>
      </c>
      <c r="L17" s="229">
        <f>IF(ISNUMBER(Datos!P17),Datos!P17,0)</f>
        <v>3</v>
      </c>
      <c r="M17" s="229" t="str">
        <f>IF(ISNUMBER(Datos!DE17),Datos!DE17," - ")</f>
        <v xml:space="preserve"> - </v>
      </c>
      <c r="N17" s="229" t="str">
        <f>IF(ISNUMBER(H17),H17," - ")</f>
        <v xml:space="preserve"> - </v>
      </c>
      <c r="O17" s="315" t="e">
        <f ca="1">IF(ISNUMBER(INDIRECT("N"&amp;ROW()+salto-1)),N17+(INDIRECT("N"&amp;ROW()+salto-1)),N17+(INDIRECT("N"&amp;ROW()-salto+1)))</f>
        <v>#VALUE!</v>
      </c>
      <c r="P17" s="340" t="str">
        <f t="shared" ref="P17" si="8">IF(ISNUMBER((N17)/((BL17+BM17)/2)),(N17)/((BL17+BM17)/2)," - ")</f>
        <v xml:space="preserve"> - </v>
      </c>
      <c r="Q17" s="340" t="str">
        <f>IF(jurisdiccion="Jurisdicción Civil y Penal",IF(ISNUMBER((O17)/((BL17+BM17)/2)),(O17)/((BL17+BM17)/2)," - "),IF(ISNUMBER((N17)/((BF17+BG17)/2)),(N17)/((BF17+BG17)/2)," - "))</f>
        <v xml:space="preserve"> - </v>
      </c>
      <c r="R17" s="230" t="str">
        <f>IF(ISNUMBER(Datos!CB17),Datos!CB17," - ")</f>
        <v xml:space="preserve"> - </v>
      </c>
      <c r="S17" s="228" t="str">
        <f>IF(ISNUMBER(Datos!BY17+Datos!BZ17),Datos!BY17+Datos!BZ17," - ")</f>
        <v xml:space="preserve"> - </v>
      </c>
      <c r="T17" s="340" t="str">
        <f>IF(ISNUMBER((S17*factor_trimestre)/DatosB!CN17),(S17*factor_trimestre)/DatosB!CN17,"-")</f>
        <v>-</v>
      </c>
      <c r="U17" s="144" t="e">
        <f ca="1">IF(ISNUMBER(INDIRECT("S"&amp;ROW()+salto-1)),S17+(INDIRECT("S"&amp;ROW()+salto-1)),S17+(INDIRECT("S"&amp;ROW()-salto+1)))</f>
        <v>#VALUE!</v>
      </c>
      <c r="V17" s="340" t="str">
        <f ca="1">IF(ISNUMBER((U17*factor_trimestre)/DatosB!CN17),(U17*factor_trimestre)/DatosB!CN17,"-")</f>
        <v>-</v>
      </c>
      <c r="W17" s="228">
        <f>IF(ISNUMBER(IF(D_I="SI",Datos!K17,Datos!K17+Datos!AE17)),IF(D_I="SI",Datos!K17,Datos!K17+Datos!AE17)," - ")</f>
        <v>104</v>
      </c>
      <c r="X17" s="229">
        <f>IF(ISNUMBER(Datos!Q17),Datos!Q17," - ")</f>
        <v>1</v>
      </c>
      <c r="Y17" s="337">
        <f t="shared" si="7"/>
        <v>105</v>
      </c>
      <c r="Z17" s="338" t="str">
        <f>IF(ISNUMBER(Datos!CC17),Datos!CC17," - ")</f>
        <v xml:space="preserve"> - </v>
      </c>
      <c r="AA17" s="335">
        <f>IF(ISNUMBER(Datos!L17),Datos!L17,"-")</f>
        <v>14</v>
      </c>
      <c r="AB17" s="337">
        <f>IF(ISNUMBER(Datos!R17),Datos!R17," - ")</f>
        <v>3</v>
      </c>
      <c r="AC17" s="337">
        <f t="shared" si="6"/>
        <v>17</v>
      </c>
      <c r="AD17" s="338" t="str">
        <f>IF(ISNUMBER(Datos!CD17),Datos!CD17," - ")</f>
        <v xml:space="preserve"> - </v>
      </c>
      <c r="AE17" s="232" t="str">
        <f>IF(ISNUMBER(Datos!BV17),Datos!BV17," - ")</f>
        <v xml:space="preserve"> - </v>
      </c>
      <c r="AF17" s="228" t="str">
        <f>IF(ISNUMBER(Datos!CK17),Datos!CK17," - ")</f>
        <v xml:space="preserve"> - </v>
      </c>
      <c r="AG17" s="301" t="str">
        <f>IF(ISNUMBER(Datos!CL17),Datos!CL17," - ")</f>
        <v xml:space="preserve"> - </v>
      </c>
      <c r="AH17" s="230" t="str">
        <f>IF(ISNUMBER(Datos!CM17),Datos!CM17," - ")</f>
        <v xml:space="preserve"> - </v>
      </c>
      <c r="AI17" s="228">
        <f>IF(ISNUMBER(Datos!M17),Datos!M17," - ")</f>
        <v>25</v>
      </c>
      <c r="AJ17" s="234" t="str">
        <f>IF(ISNUMBER(Datos!BW17),Datos!BW17," - ")</f>
        <v xml:space="preserve"> - </v>
      </c>
      <c r="AK17" s="235" t="str">
        <f>IF(ISNUMBER(Datos!BX17),Datos!BX17," - ")</f>
        <v xml:space="preserve"> - </v>
      </c>
      <c r="AL17" s="246">
        <f>IF(ISNUMBER(NºAsuntos!G17/NºAsuntos!E17),NºAsuntos!G17/NºAsuntos!E17," - ")</f>
        <v>0.96296296296296291</v>
      </c>
      <c r="AM17" s="263">
        <f>IF(ISNUMBER(((NºAsuntos!I17/NºAsuntos!G17)*11)/factor_trimestre),((NºAsuntos!I17/NºAsuntos!G17)*11)/factor_trimestre," - ")</f>
        <v>1.4807692307692306</v>
      </c>
      <c r="AN17" s="247">
        <f>IF(ISNUMBER('Resol  Asuntos'!D17/NºAsuntos!G17),'Resol  Asuntos'!D17/NºAsuntos!G17," - ")</f>
        <v>0.24038461538461539</v>
      </c>
      <c r="AO17" s="248">
        <f>IF(ISNUMBER((NºAsuntos!C17+NºAsuntos!E17)/NºAsuntos!G17),(NºAsuntos!C17+NºAsuntos!E17)/NºAsuntos!G17," - ")</f>
        <v>1.1346153846153846</v>
      </c>
      <c r="AP17" s="233" t="str">
        <f t="shared" si="2"/>
        <v xml:space="preserve"> - </v>
      </c>
      <c r="AQ17" s="233" t="str">
        <f t="shared" ref="AQ17" si="9">IF(ISNUMBER((H17-W17+K17)/(F17)),(H17-W17+K17)/(F17)," - ")</f>
        <v xml:space="preserve"> - </v>
      </c>
      <c r="AR17" s="307" t="str">
        <f>IF(ISNUMBER((Datos!P17-Datos!Q17+M17)/(Datos!R17-Datos!P17+Datos!Q17-M17)),(Datos!P17-Datos!Q17+M17)/(Datos!R17-Datos!P17+Datos!Q17-M17)," - ")</f>
        <v xml:space="preserve"> - </v>
      </c>
      <c r="AS17" s="269" t="str">
        <f>IF(ISNUMBER(Datos!CS17),Datos!CS17," - ")</f>
        <v xml:space="preserve"> - </v>
      </c>
      <c r="AT17" s="269" t="str">
        <f>IF(ISNUMBER(Datos!CI17),Datos!CI17," - ")</f>
        <v xml:space="preserve"> - </v>
      </c>
      <c r="AU17" s="269" t="str">
        <f>IF(ISNUMBER(Datos!CJ17),Datos!CJ17," - ")</f>
        <v xml:space="preserve"> - </v>
      </c>
      <c r="AV17" s="269" t="str">
        <f>IF(ISNUMBER(Datos!CW17),Datos!CW17," - ")</f>
        <v xml:space="preserve"> - </v>
      </c>
      <c r="AW17" s="269" t="str">
        <f>IF(ISNUMBER(Datos!EV17),Datos!EV17," - ")</f>
        <v xml:space="preserve"> - </v>
      </c>
      <c r="AX17" s="269">
        <f>IF(ISNUMBER(Datos!CX17)," - ",Datos!CX17)</f>
        <v>0</v>
      </c>
      <c r="AY17" s="269" t="str">
        <f>IF(ISNUMBER(Datos!EO17),Datos!EO17," - ")</f>
        <v xml:space="preserve"> - </v>
      </c>
      <c r="AZ17" s="994" t="e">
        <f>(AY17/Datos!ER17)*factor_trimestre</f>
        <v>#VALUE!</v>
      </c>
      <c r="BF17" s="157">
        <f>Datos!BN17/factor_trimestre</f>
        <v>0</v>
      </c>
      <c r="BG17" s="157">
        <f>Datos!BO17/factor_trimestre</f>
        <v>0</v>
      </c>
      <c r="BH17" s="157">
        <f>Datos!BP17/factor_trimestre</f>
        <v>0</v>
      </c>
      <c r="BI17" s="157">
        <f>Datos!BQ17/factor_trimestre</f>
        <v>0</v>
      </c>
      <c r="BJ17" s="157">
        <f>Datos!BR17/factor_trimestre</f>
        <v>0</v>
      </c>
      <c r="BK17" s="157">
        <f>Datos!BS17/factor_trimestre</f>
        <v>0</v>
      </c>
      <c r="BL17" s="157">
        <f>Datos!BT17/factor_trimestre</f>
        <v>0</v>
      </c>
      <c r="BM17" s="157">
        <f>Datos!BU17/factor_trimestre</f>
        <v>0</v>
      </c>
    </row>
    <row r="18" spans="1:65" ht="15.75" thickTop="1" thickBot="1">
      <c r="A18" s="181"/>
      <c r="B18" s="181"/>
      <c r="C18" s="866" t="str">
        <f>Datos!A18</f>
        <v>TOTAL</v>
      </c>
      <c r="D18" s="866"/>
      <c r="E18" s="1164">
        <f>SUBTOTAL(9,E14:E17)</f>
        <v>2</v>
      </c>
      <c r="F18" s="868">
        <f>SUBTOTAL(9,F14:F17)</f>
        <v>206</v>
      </c>
      <c r="G18" s="869">
        <f>SUBTOTAL(9,G15:G17)</f>
        <v>211</v>
      </c>
      <c r="H18" s="868">
        <f t="shared" ref="H18:O18" si="10">SUBTOTAL(9,H14:H17)</f>
        <v>0</v>
      </c>
      <c r="I18" s="870">
        <f t="shared" si="10"/>
        <v>0</v>
      </c>
      <c r="J18" s="870">
        <f t="shared" si="10"/>
        <v>0</v>
      </c>
      <c r="K18" s="870">
        <f t="shared" si="10"/>
        <v>0</v>
      </c>
      <c r="L18" s="870">
        <f t="shared" si="10"/>
        <v>35</v>
      </c>
      <c r="M18" s="870">
        <f t="shared" si="10"/>
        <v>0</v>
      </c>
      <c r="N18" s="870">
        <f t="shared" si="10"/>
        <v>0</v>
      </c>
      <c r="O18" s="871" t="e">
        <f t="shared" ca="1" si="10"/>
        <v>#VALUE!</v>
      </c>
      <c r="P18" s="871"/>
      <c r="Q18" s="872" t="str">
        <f>IF(ISNUMBER((N18*factor_trimestre)/((Datos!BT18+Datos!BU18)/2)),(N18*factor_trimestre)/((Datos!BT18+Datos!BU18)/2)," - ")</f>
        <v xml:space="preserve"> - </v>
      </c>
      <c r="R18" s="873">
        <f>SUBTOTAL(9,R14:R17)</f>
        <v>0</v>
      </c>
      <c r="S18" s="868">
        <f>SUBTOTAL(9,S14:S17)</f>
        <v>0</v>
      </c>
      <c r="T18" s="874">
        <f>IF(ISNUMBER((S18*factor_trimestre)/DatosB!BM18),(S18*factor_trimestre)/DatosB!BM18,"-")</f>
        <v>0</v>
      </c>
      <c r="U18" s="868" t="e">
        <f ca="1">SUBTOTAL(9,U14:U17)</f>
        <v>#VALUE!</v>
      </c>
      <c r="V18" s="874" t="str">
        <f ca="1">IF(ISNUMBER((U18*factor_trimestre)/DatosB!CN18),(U18*factor_trimestre)/DatosB!CN18,"-")</f>
        <v>-</v>
      </c>
      <c r="W18" s="870">
        <f t="shared" ref="W18:AK18" si="11">SUBTOTAL(9,W14:W17)</f>
        <v>986</v>
      </c>
      <c r="X18" s="870">
        <f t="shared" si="11"/>
        <v>27</v>
      </c>
      <c r="Y18" s="871">
        <f t="shared" si="11"/>
        <v>1013</v>
      </c>
      <c r="Z18" s="871">
        <f t="shared" si="11"/>
        <v>0</v>
      </c>
      <c r="AA18" s="871">
        <f t="shared" si="11"/>
        <v>277</v>
      </c>
      <c r="AB18" s="871">
        <f t="shared" si="11"/>
        <v>51</v>
      </c>
      <c r="AC18" s="871">
        <f t="shared" si="11"/>
        <v>328</v>
      </c>
      <c r="AD18" s="871">
        <f t="shared" si="11"/>
        <v>0</v>
      </c>
      <c r="AE18" s="875">
        <f t="shared" si="11"/>
        <v>0</v>
      </c>
      <c r="AF18" s="868">
        <f t="shared" si="11"/>
        <v>0</v>
      </c>
      <c r="AG18" s="876">
        <f t="shared" si="11"/>
        <v>0</v>
      </c>
      <c r="AH18" s="873">
        <f t="shared" si="11"/>
        <v>0</v>
      </c>
      <c r="AI18" s="868">
        <f t="shared" si="11"/>
        <v>145</v>
      </c>
      <c r="AJ18" s="870">
        <f t="shared" si="11"/>
        <v>0</v>
      </c>
      <c r="AK18" s="873">
        <f t="shared" si="11"/>
        <v>0</v>
      </c>
      <c r="AL18" s="877">
        <f>IF(ISNUMBER(NºAsuntos!G18/NºAsuntos!E18),NºAsuntos!G18/NºAsuntos!E18," - ")</f>
        <v>0.94173829990448898</v>
      </c>
      <c r="AM18" s="877">
        <f>IF(ISNUMBER(((NºAsuntos!I18/NºAsuntos!G18)*11)/factor_trimestre),((NºAsuntos!I18/NºAsuntos!G18)*11)/factor_trimestre," - ")</f>
        <v>3.0902636916835702</v>
      </c>
      <c r="AN18" s="878">
        <f>IF(ISNUMBER('Resol  Asuntos'!D18/NºAsuntos!G18),'Resol  Asuntos'!D18/NºAsuntos!G18," - ")</f>
        <v>0.14705882352941177</v>
      </c>
      <c r="AO18" s="879">
        <f>IF(ISNUMBER((NºAsuntos!C18+NºAsuntos!E18)/NºAsuntos!G18),(NºAsuntos!C18+NºAsuntos!E18)/NºAsuntos!G18," - ")</f>
        <v>1.2758620689655173</v>
      </c>
      <c r="AP18" s="880" t="str">
        <f t="shared" si="2"/>
        <v xml:space="preserve"> - </v>
      </c>
      <c r="AQ18" s="880">
        <f>IF(ISNUMBER((H18-W18+K18)/(F18)),(H18-W18+K18)/(F18)," - ")</f>
        <v>-4.7864077669902914</v>
      </c>
      <c r="AR18" s="881">
        <f>IF(ISNUMBER((Datos!P18-Datos!Q18)/(Datos!R18-Datos!P18+Datos!Q18)),(Datos!P18-Datos!Q18)/(Datos!R18-Datos!P18+Datos!Q18)," - ")</f>
        <v>0.18604651162790697</v>
      </c>
      <c r="AS18" s="867">
        <f>SUBTOTAL(9,AS14:AS17)</f>
        <v>0</v>
      </c>
      <c r="AT18" s="867">
        <f>SUBTOTAL(9,AT14:AT17)</f>
        <v>0</v>
      </c>
      <c r="AU18" s="867">
        <f>SUBTOTAL(9,AU14:AU17)</f>
        <v>0</v>
      </c>
      <c r="AV18" s="867">
        <f>SUBTOTAL(9,AV14:AV17)</f>
        <v>0</v>
      </c>
      <c r="AW18" s="867">
        <f>SUBTOTAL(9,AW14:AW17)</f>
        <v>0</v>
      </c>
      <c r="AX18" s="882"/>
      <c r="AY18" s="867">
        <f>SUBTOTAL(9,AY14:AY17)</f>
        <v>0</v>
      </c>
      <c r="AZ18" s="996" t="e">
        <f>SUBTOTAL(9,AZ14:AZ17)</f>
        <v>#VALUE!</v>
      </c>
      <c r="BF18" s="154">
        <f t="shared" ref="BF18:BM18" si="12">SUM(BF14:BF17)</f>
        <v>0</v>
      </c>
      <c r="BG18" s="154">
        <f t="shared" si="12"/>
        <v>0</v>
      </c>
      <c r="BH18" s="154">
        <f t="shared" si="12"/>
        <v>0</v>
      </c>
      <c r="BI18" s="154">
        <f t="shared" si="12"/>
        <v>0</v>
      </c>
      <c r="BJ18" s="154">
        <f t="shared" si="12"/>
        <v>0</v>
      </c>
      <c r="BK18" s="154">
        <f t="shared" si="12"/>
        <v>0</v>
      </c>
      <c r="BL18" s="154">
        <f t="shared" si="12"/>
        <v>0</v>
      </c>
      <c r="BM18" s="154">
        <f t="shared" si="12"/>
        <v>0</v>
      </c>
    </row>
    <row r="19" spans="1:65" ht="18.75" customHeight="1" thickTop="1" thickBot="1">
      <c r="A19" s="175"/>
      <c r="B19" s="175"/>
      <c r="C19" s="821" t="str">
        <f>Datos!A19</f>
        <v>TOTAL JURISDICCIONES</v>
      </c>
      <c r="D19" s="822"/>
      <c r="E19" s="1165">
        <f t="shared" ref="E19:O19" si="13">SUBTOTAL(9,E9:E18)</f>
        <v>4</v>
      </c>
      <c r="F19" s="823">
        <f t="shared" si="13"/>
        <v>215</v>
      </c>
      <c r="G19" s="824">
        <f t="shared" si="13"/>
        <v>220</v>
      </c>
      <c r="H19" s="823">
        <f t="shared" si="13"/>
        <v>0</v>
      </c>
      <c r="I19" s="825">
        <f t="shared" si="13"/>
        <v>0</v>
      </c>
      <c r="J19" s="825">
        <f t="shared" si="13"/>
        <v>0</v>
      </c>
      <c r="K19" s="884">
        <f t="shared" si="13"/>
        <v>0</v>
      </c>
      <c r="L19" s="825">
        <f t="shared" si="13"/>
        <v>284</v>
      </c>
      <c r="M19" s="825">
        <f t="shared" si="13"/>
        <v>0</v>
      </c>
      <c r="N19" s="825">
        <f t="shared" si="13"/>
        <v>0</v>
      </c>
      <c r="O19" s="825" t="e">
        <f t="shared" ca="1" si="13"/>
        <v>#VALUE!</v>
      </c>
      <c r="P19" s="884" t="str">
        <f>IF(ISNUMBER((N19*factor_trimestre)/((Datos!BT19+Datos!BU19)/2)),(N19*factor_trimestre)/((Datos!BT19+Datos!BU19)/2)," - ")</f>
        <v xml:space="preserve"> - </v>
      </c>
      <c r="Q19" s="885" t="str">
        <f>IF(ISNUMBER((N19*factor_trimestre)/((Datos!BT19+Datos!BU19)/2)),(N19*factor_trimestre)/((Datos!BT19+Datos!BU19)/2)," - ")</f>
        <v xml:space="preserve"> - </v>
      </c>
      <c r="R19" s="825">
        <f>SUBTOTAL(9,R9:R18)</f>
        <v>0</v>
      </c>
      <c r="S19" s="823">
        <f>SUBTOTAL(9,S9:S18)</f>
        <v>0</v>
      </c>
      <c r="T19" s="829" t="str">
        <f>IF(ISNUMBER((S19*factor_trimestre)/DatosB!CN19),(S19*factor_trimestre)/DatosB!CN19,"-")</f>
        <v>-</v>
      </c>
      <c r="U19" s="833" t="e">
        <f ca="1">SUBTOTAL(9,U9:U18)</f>
        <v>#VALUE!</v>
      </c>
      <c r="V19" s="886" t="str">
        <f ca="1">IF(ISNUMBER((U19*factor_trimestre)/DatosB!CN19),(U19*factor_trimestre)/DatosB!CN19,"-")</f>
        <v>-</v>
      </c>
      <c r="W19" s="824">
        <f t="shared" ref="W19:AK19" si="14">SUBTOTAL(9,W9:W18)</f>
        <v>994</v>
      </c>
      <c r="X19" s="824">
        <f t="shared" si="14"/>
        <v>307</v>
      </c>
      <c r="Y19" s="831">
        <f t="shared" si="14"/>
        <v>1301</v>
      </c>
      <c r="Z19" s="831">
        <f t="shared" si="14"/>
        <v>0</v>
      </c>
      <c r="AA19" s="831">
        <f t="shared" si="14"/>
        <v>285</v>
      </c>
      <c r="AB19" s="831">
        <f t="shared" si="14"/>
        <v>1143</v>
      </c>
      <c r="AC19" s="831">
        <f t="shared" si="14"/>
        <v>341</v>
      </c>
      <c r="AD19" s="831">
        <f t="shared" si="14"/>
        <v>0</v>
      </c>
      <c r="AE19" s="833">
        <f t="shared" si="14"/>
        <v>0</v>
      </c>
      <c r="AF19" s="834">
        <f t="shared" si="14"/>
        <v>0</v>
      </c>
      <c r="AG19" s="835">
        <f t="shared" si="14"/>
        <v>0</v>
      </c>
      <c r="AH19" s="833">
        <f t="shared" si="14"/>
        <v>0</v>
      </c>
      <c r="AI19" s="823">
        <f t="shared" si="14"/>
        <v>386</v>
      </c>
      <c r="AJ19" s="823">
        <f t="shared" si="14"/>
        <v>0</v>
      </c>
      <c r="AK19" s="833">
        <f t="shared" si="14"/>
        <v>0</v>
      </c>
      <c r="AL19" s="887">
        <f>IF(ISNUMBER(NºAsuntos!G19/NºAsuntos!E19),NºAsuntos!G19/NºAsuntos!E19," - ")</f>
        <v>0.88001867413632118</v>
      </c>
      <c r="AM19" s="888">
        <f>IF(ISNUMBER(((NºAsuntos!I19/NºAsuntos!G19)*11)/factor_trimestre),((NºAsuntos!I19/NºAsuntos!G19)*11)/factor_trimestre," - ")</f>
        <v>5.8297082228116714</v>
      </c>
      <c r="AN19" s="888">
        <f>IF(ISNUMBER('Resol  Asuntos'!D19/NºAsuntos!G19),'Resol  Asuntos'!D19/NºAsuntos!G19," - ")</f>
        <v>0.20477453580901855</v>
      </c>
      <c r="AO19" s="889">
        <f>IF(ISNUMBER((NºAsuntos!C19+NºAsuntos!E19)/NºAsuntos!G19),(NºAsuntos!C19+NºAsuntos!E19)/NºAsuntos!G19," - ")</f>
        <v>1.5273209549071618</v>
      </c>
      <c r="AP19" s="890" t="str">
        <f t="shared" si="2"/>
        <v xml:space="preserve"> - </v>
      </c>
      <c r="AQ19" s="891">
        <f>IF(OR(ISNUMBER(FIND("01",Criterios!A8,1)),ISNUMBER(FIND("02",Criterios!A8,1)),ISNUMBER(FIND("03",Criterios!A8,1)),ISNUMBER(FIND("04",Criterios!A8,1))),(I19-W19+K19)/(F19-K19),(H19-W19+K19)/(F19-K19))</f>
        <v>-4.6232558139534881</v>
      </c>
      <c r="AR19" s="892">
        <f>IF(ISNUMBER((Datos!P19-Datos!Q19)/(Datos!R19-Datos!P19+Datos!Q19)),(Datos!P19-Datos!Q19)/(Datos!R19-Datos!P19+Datos!Q19)," - ")</f>
        <v>-1.9725557461406518E-2</v>
      </c>
      <c r="AS19" s="838">
        <f>SUBTOTAL(9,AS9:AS18)</f>
        <v>0</v>
      </c>
      <c r="AT19" s="883">
        <f>SUBTOTAL(9,AT9:AT18)</f>
        <v>0</v>
      </c>
      <c r="AU19" s="883">
        <f>SUBTOTAL(9,AU9:AU18)</f>
        <v>0</v>
      </c>
      <c r="AV19" s="883">
        <f>SUBTOTAL(9,AV9:AV18)</f>
        <v>0</v>
      </c>
      <c r="AW19" s="883">
        <f>SUBTOTAL(9,AW9:AW18)</f>
        <v>0</v>
      </c>
      <c r="AX19" s="839"/>
      <c r="AY19" s="883">
        <f>SUBTOTAL(9,AY9:AY18)</f>
        <v>0</v>
      </c>
      <c r="AZ19" s="997" t="e">
        <f>SUBTOTAL(9,AZ9:AZ18)</f>
        <v>#VALUE!</v>
      </c>
      <c r="BF19" s="156">
        <f t="shared" ref="BF19:BM19" si="15">SUM(BF9:BF18)</f>
        <v>0</v>
      </c>
      <c r="BG19" s="156">
        <f t="shared" si="15"/>
        <v>0</v>
      </c>
      <c r="BH19" s="156">
        <f t="shared" si="15"/>
        <v>0</v>
      </c>
      <c r="BI19" s="156">
        <f t="shared" si="15"/>
        <v>0</v>
      </c>
      <c r="BJ19" s="156">
        <f t="shared" si="15"/>
        <v>0</v>
      </c>
      <c r="BK19" s="156">
        <f t="shared" si="15"/>
        <v>0</v>
      </c>
      <c r="BL19" s="156">
        <f t="shared" si="15"/>
        <v>0</v>
      </c>
      <c r="BM19" s="156">
        <f t="shared" si="15"/>
        <v>0</v>
      </c>
    </row>
    <row r="20" spans="1:65" ht="18.75" customHeight="1" thickTop="1" thickBot="1">
      <c r="A20" s="170"/>
      <c r="B20" s="170"/>
      <c r="C20" s="841" t="s">
        <v>264</v>
      </c>
      <c r="D20" s="842"/>
      <c r="E20" s="1166">
        <f ca="1">IF(ISNUMBER(SUMIF($B8:$B18,$B20,E8:E18)/INDIRECT("Datos!AP"&amp;ROW()-1)),SUMIF($B8:$B18,$B20,E8:E18)/INDIRECT("Datos!AP"&amp;ROW()-1),"-")</f>
        <v>0</v>
      </c>
      <c r="F20" s="816">
        <f ca="1">IF(ISNUMBER(SUMIF($B8:$B18,$B20,F8:F18)/INDIRECT("Datos!AP"&amp;ROW()-1)),SUMIF($B8:$B18,$B20,F8:F18)/INDIRECT("Datos!AP"&amp;ROW()-1),"-")</f>
        <v>0</v>
      </c>
      <c r="G20" s="817">
        <f>IF(ISNUMBER(AVERAGE(G8:G18)),AVERAGE(G8:G18),"-")</f>
        <v>88</v>
      </c>
      <c r="H20" s="816">
        <f t="shared" ref="H20:AO20" ca="1" si="16">IF(ISNUMBER(SUMIF($B8:$B18,$B20,H8:H18)/INDIRECT("Datos!AP"&amp;ROW()-1)),SUMIF($B8:$B18,$B20,H8:H18)/INDIRECT("Datos!AP"&amp;ROW()-1),"-")</f>
        <v>0</v>
      </c>
      <c r="I20" s="818">
        <f t="shared" ca="1" si="16"/>
        <v>0</v>
      </c>
      <c r="J20" s="818">
        <f t="shared" ca="1" si="16"/>
        <v>0</v>
      </c>
      <c r="K20" s="818">
        <f t="shared" ca="1" si="16"/>
        <v>0</v>
      </c>
      <c r="L20" s="818">
        <f t="shared" ca="1" si="16"/>
        <v>0</v>
      </c>
      <c r="M20" s="818">
        <f t="shared" ca="1" si="16"/>
        <v>0</v>
      </c>
      <c r="N20" s="818">
        <f t="shared" ca="1" si="16"/>
        <v>0</v>
      </c>
      <c r="O20" s="818">
        <f t="shared" ca="1" si="16"/>
        <v>0</v>
      </c>
      <c r="P20" s="827">
        <f t="shared" ca="1" si="16"/>
        <v>0</v>
      </c>
      <c r="Q20" s="827">
        <f t="shared" ca="1" si="16"/>
        <v>0</v>
      </c>
      <c r="R20" s="818">
        <f t="shared" ca="1" si="16"/>
        <v>0</v>
      </c>
      <c r="S20" s="816">
        <f t="shared" ca="1" si="16"/>
        <v>0</v>
      </c>
      <c r="T20" s="894">
        <f t="shared" ca="1" si="16"/>
        <v>0</v>
      </c>
      <c r="U20" s="818">
        <f t="shared" ca="1" si="16"/>
        <v>0</v>
      </c>
      <c r="V20" s="894">
        <f t="shared" ca="1" si="16"/>
        <v>0</v>
      </c>
      <c r="W20" s="817">
        <f t="shared" ca="1" si="16"/>
        <v>0</v>
      </c>
      <c r="X20" s="817">
        <f t="shared" ca="1" si="16"/>
        <v>0</v>
      </c>
      <c r="Y20" s="895">
        <f t="shared" ca="1" si="16"/>
        <v>0</v>
      </c>
      <c r="Z20" s="895">
        <f t="shared" ca="1" si="16"/>
        <v>0</v>
      </c>
      <c r="AA20" s="895">
        <f t="shared" ca="1" si="16"/>
        <v>0</v>
      </c>
      <c r="AB20" s="895">
        <f t="shared" ca="1" si="16"/>
        <v>0</v>
      </c>
      <c r="AC20" s="895">
        <f t="shared" ca="1" si="16"/>
        <v>0</v>
      </c>
      <c r="AD20" s="895">
        <f t="shared" ca="1" si="16"/>
        <v>0</v>
      </c>
      <c r="AE20" s="818">
        <f t="shared" ca="1" si="16"/>
        <v>0</v>
      </c>
      <c r="AF20" s="846">
        <f t="shared" ca="1" si="16"/>
        <v>0</v>
      </c>
      <c r="AG20" s="845">
        <f t="shared" ca="1" si="16"/>
        <v>0</v>
      </c>
      <c r="AH20" s="818">
        <f t="shared" ca="1" si="16"/>
        <v>0</v>
      </c>
      <c r="AI20" s="816">
        <f t="shared" ca="1" si="16"/>
        <v>0</v>
      </c>
      <c r="AJ20" s="816">
        <f t="shared" ca="1" si="16"/>
        <v>0</v>
      </c>
      <c r="AK20" s="818">
        <f t="shared" ca="1" si="16"/>
        <v>0</v>
      </c>
      <c r="AL20" s="816">
        <f t="shared" ca="1" si="16"/>
        <v>0</v>
      </c>
      <c r="AM20" s="817">
        <f t="shared" ca="1" si="16"/>
        <v>0</v>
      </c>
      <c r="AN20" s="817">
        <f t="shared" ca="1" si="16"/>
        <v>0</v>
      </c>
      <c r="AO20" s="818">
        <f t="shared" ca="1" si="16"/>
        <v>0</v>
      </c>
      <c r="AP20" s="896" t="str">
        <f t="shared" ca="1" si="2"/>
        <v xml:space="preserve"> - </v>
      </c>
      <c r="AQ20" s="891" t="e">
        <f ca="1">IF(OR(ISNUMBER(FIND("01",Criterios!A8,1)),ISNUMBER(FIND("02",Criterios!A8,1)),ISNUMBER(FIND("03",Criterios!A8,1)),ISNUMBER(FIND("04",Criterios!A8,1))),(I20-W20+K20)/(F20-K20),(H20-W20+K20)/(F20-K20))</f>
        <v>#DIV/0!</v>
      </c>
      <c r="AR20" s="897">
        <f t="shared" ref="AR20:AW20" ca="1" si="17">IF(ISNUMBER(SUMIF($B8:$B18,$B20,AR8:AR18)/INDIRECT("Datos!AP"&amp;ROW()-1)),SUMIF($B8:$B18,$B20,AR8:AR18)/INDIRECT("Datos!AP"&amp;ROW()-1),"-")</f>
        <v>0</v>
      </c>
      <c r="AS20" s="898">
        <f t="shared" ca="1" si="17"/>
        <v>0</v>
      </c>
      <c r="AT20" s="893">
        <f t="shared" ca="1" si="17"/>
        <v>0</v>
      </c>
      <c r="AU20" s="893">
        <f t="shared" ca="1" si="17"/>
        <v>0</v>
      </c>
      <c r="AV20" s="893">
        <f t="shared" ca="1" si="17"/>
        <v>0</v>
      </c>
      <c r="AW20" s="893">
        <f t="shared" ca="1" si="17"/>
        <v>0</v>
      </c>
      <c r="AX20" s="899"/>
      <c r="AY20" s="818">
        <f ca="1">IF(ISNUMBER(SUMIF($B8:$B18,$B20,AY8:AY18)/INDIRECT("Datos!AP"&amp;ROW()-1)),SUMIF($B8:$B18,$B20,AY8:AY18)/INDIRECT("Datos!AP"&amp;ROW()-1),"-")</f>
        <v>0</v>
      </c>
      <c r="AZ20" s="998">
        <f ca="1">IF(ISNUMBER(SUMIF($B8:$B18,$B20,AZ8:AZ18)/INDIRECT("Datos!AP"&amp;ROW()-1)),SUMIF($B8:$B18,$B20,AZ8:AZ18)/INDIRECT("Datos!AP"&amp;ROW()-1),"-")</f>
        <v>0</v>
      </c>
    </row>
    <row r="21" spans="1:65" ht="18.75" hidden="1" customHeight="1" thickTop="1" thickBot="1">
      <c r="A21" s="171"/>
      <c r="B21" s="171"/>
      <c r="C21" s="171" t="s">
        <v>265</v>
      </c>
      <c r="D21" s="344"/>
      <c r="E21" s="286">
        <f>IF(ISNUMBER(STDEV(E8:E18)),STDEV(E8:E18),"-")</f>
        <v>1.0540925533894598</v>
      </c>
      <c r="F21" s="255">
        <f>IF(ISNUMBER(STDEV(F8:F18)),STDEV(F8:F18),"-")</f>
        <v>113.73800303035628</v>
      </c>
      <c r="G21" s="256">
        <f>IF(ISNUMBER(STDEV(G8:G18)),STDEV(G8:G18),"-")</f>
        <v>107.77754868245984</v>
      </c>
      <c r="H21" s="255">
        <f>IF(ISNUMBER(STDEV(H8:H18)),STDEV(H8:H18),"-")</f>
        <v>0</v>
      </c>
      <c r="I21" s="257">
        <f>IF(ISNUMBER(STDEV(I8:I18)),STDEV(I8:I18),"-")</f>
        <v>0</v>
      </c>
      <c r="J21" s="256"/>
      <c r="K21" s="256"/>
      <c r="L21" s="256"/>
      <c r="M21" s="256"/>
      <c r="N21" s="256"/>
      <c r="O21" s="256"/>
      <c r="P21" s="256"/>
      <c r="Q21" s="256"/>
      <c r="R21" s="256"/>
      <c r="S21" s="255">
        <f>IF(ISNUMBER(STDEV(S8:S18)),STDEV(S8:S18),"-")</f>
        <v>0</v>
      </c>
      <c r="T21" s="316">
        <f>IF(ISNUMBER(STDEV(T8:T18)),STDEV(T8:T18),"-")</f>
        <v>0</v>
      </c>
      <c r="U21" s="257" t="str">
        <f ca="1">IF(ISNUMBER(STDEV(U8:U18)),STDEV(U8:U18),"-")</f>
        <v>-</v>
      </c>
      <c r="V21" s="285"/>
      <c r="W21" s="256">
        <f>IF(ISNUMBER(STDEV(W8:W18)),STDEV(W8:W18),"-")</f>
        <v>492.60410067314706</v>
      </c>
      <c r="X21" s="285"/>
      <c r="Y21" s="285"/>
      <c r="Z21" s="285"/>
      <c r="AA21" s="285"/>
      <c r="AB21" s="285"/>
      <c r="AC21" s="285"/>
      <c r="AD21" s="285"/>
      <c r="AE21" s="257">
        <f>IF(ISNUMBER(STDEV(AE8:AE18)),STDEV(AE8:AE18),"-")</f>
        <v>0</v>
      </c>
      <c r="AF21" s="258">
        <f>IF(ISNUMBER(STDEV(AF8:AF18)),STDEV(AF8:AF18),"-")</f>
        <v>0</v>
      </c>
      <c r="AG21" s="285">
        <f>IF(ISNUMBER(STDEV(AG8:AG18)),STDEV(AG8:AG18),"-")</f>
        <v>0</v>
      </c>
      <c r="AH21" s="300"/>
      <c r="AI21" s="255">
        <f t="shared" ref="AI21:AQ21" si="18">IF(ISNUMBER(STDEV(AI8:AI18)),STDEV(AI8:AI18),"-")</f>
        <v>100.98052617542982</v>
      </c>
      <c r="AJ21" s="255">
        <f t="shared" si="18"/>
        <v>0</v>
      </c>
      <c r="AK21" s="257">
        <f t="shared" si="18"/>
        <v>0</v>
      </c>
      <c r="AL21" s="252">
        <f t="shared" si="18"/>
        <v>0.11871790040830231</v>
      </c>
      <c r="AM21" s="253">
        <f t="shared" si="18"/>
        <v>3.9294449230050601</v>
      </c>
      <c r="AN21" s="253">
        <f t="shared" si="18"/>
        <v>0.13130356235868687</v>
      </c>
      <c r="AO21" s="254">
        <f t="shared" si="18"/>
        <v>0.35881092842463491</v>
      </c>
      <c r="AP21" s="294" t="str">
        <f t="shared" si="18"/>
        <v>-</v>
      </c>
      <c r="AQ21" s="295">
        <f t="shared" si="18"/>
        <v>2.7559620285080872</v>
      </c>
      <c r="AR21" s="309"/>
      <c r="AS21" s="313">
        <f t="shared" ref="AS21:AX21" si="19">IF(ISNUMBER(STDEV(AS8:AS18)),STDEV(AS8:AS18),"-")</f>
        <v>0</v>
      </c>
      <c r="AT21" s="286">
        <f t="shared" si="19"/>
        <v>0</v>
      </c>
      <c r="AU21" s="286">
        <f t="shared" si="19"/>
        <v>0</v>
      </c>
      <c r="AV21" s="286">
        <f t="shared" si="19"/>
        <v>0</v>
      </c>
      <c r="AW21" s="286">
        <f t="shared" si="19"/>
        <v>0</v>
      </c>
      <c r="AX21" s="304">
        <f t="shared" si="19"/>
        <v>0</v>
      </c>
      <c r="AY21" s="304"/>
      <c r="AZ21" s="999"/>
    </row>
    <row r="22" spans="1:65" ht="12" customHeight="1" thickTop="1">
      <c r="C22" s="73"/>
      <c r="D22" s="73"/>
      <c r="T22" s="317"/>
      <c r="AQ22" t="s">
        <v>424</v>
      </c>
      <c r="AR22" s="310"/>
      <c r="AS22" s="314"/>
      <c r="AX22" s="95"/>
      <c r="AY22" s="95"/>
      <c r="AZ22" s="626"/>
    </row>
    <row r="23" spans="1:65">
      <c r="C23" s="163"/>
      <c r="D23" s="345"/>
      <c r="E23" s="144"/>
      <c r="F23" s="146"/>
      <c r="G23" s="148"/>
      <c r="H23" s="147"/>
      <c r="I23" s="147"/>
      <c r="J23" s="144"/>
      <c r="K23" s="144"/>
      <c r="L23" s="144"/>
      <c r="M23" s="144"/>
      <c r="N23" s="144"/>
      <c r="O23" s="144"/>
      <c r="P23" s="144"/>
      <c r="Q23" s="144"/>
      <c r="R23" s="144"/>
      <c r="S23" s="144"/>
      <c r="T23" s="318"/>
      <c r="U23" s="144"/>
      <c r="V23" s="144"/>
      <c r="W23" s="147"/>
      <c r="X23" s="260"/>
      <c r="Y23" s="260"/>
      <c r="Z23" s="260"/>
      <c r="AA23" s="260"/>
      <c r="AB23" s="260"/>
      <c r="AC23" s="260"/>
      <c r="AD23" s="260"/>
      <c r="AE23" s="147"/>
      <c r="AF23" s="147"/>
      <c r="AG23" s="147"/>
      <c r="AH23" s="147"/>
      <c r="AI23" s="147"/>
      <c r="AJ23" s="147"/>
      <c r="AK23" s="147"/>
      <c r="AL23" s="147"/>
      <c r="AM23" s="144"/>
      <c r="AN23" s="144"/>
      <c r="AO23" s="144"/>
      <c r="AP23" s="168"/>
      <c r="AQ23" s="168"/>
      <c r="AR23" s="311"/>
      <c r="AS23" s="315"/>
      <c r="AT23" s="144"/>
      <c r="AU23" s="144"/>
      <c r="AV23" s="144"/>
      <c r="AW23" s="144"/>
      <c r="AX23" s="305"/>
      <c r="AY23" s="305"/>
      <c r="AZ23" s="298"/>
    </row>
    <row r="24" spans="1:65">
      <c r="C24" s="7"/>
      <c r="D24" s="346"/>
      <c r="E24" s="144"/>
      <c r="F24" s="146"/>
      <c r="G24" s="148"/>
      <c r="H24" s="147"/>
      <c r="I24" s="147"/>
      <c r="J24" s="144"/>
      <c r="K24" s="144"/>
      <c r="L24" s="144"/>
      <c r="M24" s="144"/>
      <c r="N24" s="144"/>
      <c r="O24" s="144"/>
      <c r="P24" s="144"/>
      <c r="Q24" s="144"/>
      <c r="R24" s="144"/>
      <c r="S24" s="144"/>
      <c r="T24" s="318"/>
      <c r="U24" s="144"/>
      <c r="V24" s="144"/>
      <c r="W24" s="147"/>
      <c r="X24" s="260"/>
      <c r="Y24" s="260"/>
      <c r="Z24" s="260"/>
      <c r="AA24" s="260"/>
      <c r="AB24" s="260"/>
      <c r="AC24" s="260"/>
      <c r="AD24" s="260"/>
      <c r="AE24" s="147"/>
      <c r="AF24" s="147"/>
      <c r="AG24" s="147"/>
      <c r="AH24" s="147"/>
      <c r="AI24" s="147"/>
      <c r="AJ24" s="147"/>
      <c r="AK24" s="147"/>
      <c r="AL24" s="147"/>
      <c r="AM24" s="144"/>
      <c r="AN24" s="144"/>
      <c r="AO24" s="144"/>
      <c r="AP24" s="168"/>
      <c r="AQ24" s="168"/>
      <c r="AR24" s="311"/>
      <c r="AS24" s="315"/>
      <c r="AT24" s="144"/>
      <c r="AU24" s="144"/>
      <c r="AV24" s="144"/>
      <c r="AW24" s="144"/>
      <c r="AX24" s="305"/>
      <c r="AY24" s="305"/>
      <c r="AZ24" s="298"/>
    </row>
    <row r="25" spans="1:65" ht="12.75" hidden="1" customHeight="1">
      <c r="C25" s="297" t="s">
        <v>262</v>
      </c>
      <c r="D25" s="346"/>
      <c r="E25" s="148">
        <f>E23+2*E24</f>
        <v>0</v>
      </c>
      <c r="F25" s="148">
        <f>F23+2*F24</f>
        <v>0</v>
      </c>
      <c r="G25" s="146">
        <f>G23+2*G24</f>
        <v>0</v>
      </c>
      <c r="H25" s="145">
        <f>H23+2*H24</f>
        <v>0</v>
      </c>
      <c r="I25" s="145">
        <f>I23+2*I24</f>
        <v>0</v>
      </c>
      <c r="J25" s="145">
        <f t="shared" ref="J25:U25" si="20">J23+2*J24</f>
        <v>0</v>
      </c>
      <c r="K25" s="145">
        <f>K23+2*K24</f>
        <v>0</v>
      </c>
      <c r="L25" s="145">
        <f t="shared" si="20"/>
        <v>0</v>
      </c>
      <c r="M25" s="145">
        <f t="shared" si="20"/>
        <v>0</v>
      </c>
      <c r="N25" s="145">
        <f t="shared" si="20"/>
        <v>0</v>
      </c>
      <c r="O25" s="145">
        <f>O23+2*O24</f>
        <v>0</v>
      </c>
      <c r="P25" s="145"/>
      <c r="Q25" s="319">
        <f t="shared" si="20"/>
        <v>0</v>
      </c>
      <c r="R25" s="145">
        <f t="shared" si="20"/>
        <v>0</v>
      </c>
      <c r="S25" s="146">
        <f t="shared" si="20"/>
        <v>0</v>
      </c>
      <c r="T25" s="334">
        <f t="shared" si="20"/>
        <v>0</v>
      </c>
      <c r="U25" s="146">
        <f t="shared" si="20"/>
        <v>0</v>
      </c>
      <c r="V25" s="146"/>
      <c r="W25" s="146">
        <f t="shared" ref="W25:AH25" si="21">W23+2*W24</f>
        <v>0</v>
      </c>
      <c r="X25" s="146">
        <f t="shared" si="21"/>
        <v>0</v>
      </c>
      <c r="Y25" s="146">
        <f t="shared" si="21"/>
        <v>0</v>
      </c>
      <c r="Z25" s="146">
        <f t="shared" si="21"/>
        <v>0</v>
      </c>
      <c r="AA25" s="146">
        <f t="shared" si="21"/>
        <v>0</v>
      </c>
      <c r="AB25" s="146">
        <f t="shared" si="21"/>
        <v>0</v>
      </c>
      <c r="AC25" s="146">
        <f t="shared" si="21"/>
        <v>0</v>
      </c>
      <c r="AD25" s="146">
        <f t="shared" si="21"/>
        <v>0</v>
      </c>
      <c r="AE25" s="146">
        <f t="shared" si="21"/>
        <v>0</v>
      </c>
      <c r="AF25" s="146">
        <f t="shared" si="21"/>
        <v>0</v>
      </c>
      <c r="AG25" s="146">
        <f t="shared" si="21"/>
        <v>0</v>
      </c>
      <c r="AH25" s="146">
        <f t="shared" si="21"/>
        <v>0</v>
      </c>
      <c r="AI25" s="146">
        <f t="shared" ref="AI25:AS25" si="22">AI23+2*AI24</f>
        <v>0</v>
      </c>
      <c r="AJ25" s="146">
        <f t="shared" si="22"/>
        <v>0</v>
      </c>
      <c r="AK25" s="146">
        <f t="shared" si="22"/>
        <v>0</v>
      </c>
      <c r="AL25" s="259">
        <f t="shared" si="22"/>
        <v>0</v>
      </c>
      <c r="AM25" s="259">
        <f t="shared" si="22"/>
        <v>0</v>
      </c>
      <c r="AN25" s="259">
        <f t="shared" si="22"/>
        <v>0</v>
      </c>
      <c r="AO25" s="259">
        <f t="shared" si="22"/>
        <v>0</v>
      </c>
      <c r="AP25" s="146">
        <f t="shared" si="22"/>
        <v>0</v>
      </c>
      <c r="AQ25" s="146">
        <f t="shared" si="22"/>
        <v>0</v>
      </c>
      <c r="AR25" s="146">
        <f t="shared" si="22"/>
        <v>0</v>
      </c>
      <c r="AS25" s="146">
        <f t="shared" si="22"/>
        <v>0</v>
      </c>
      <c r="AT25" s="146">
        <f>AT23+2*AT24</f>
        <v>0</v>
      </c>
      <c r="AU25" s="146">
        <f>AU23+2*AU24</f>
        <v>0</v>
      </c>
      <c r="AV25" s="146">
        <f>AV23+2*AV24</f>
        <v>0</v>
      </c>
      <c r="AW25" s="146">
        <f>AW23+2*AW24</f>
        <v>0</v>
      </c>
      <c r="AX25" s="146">
        <f>AX23+2*AX24</f>
        <v>0</v>
      </c>
    </row>
    <row r="26" spans="1:65" ht="12.75" hidden="1" customHeight="1">
      <c r="C26" s="297" t="s">
        <v>263</v>
      </c>
      <c r="D26" s="346"/>
      <c r="E26" s="148">
        <f>MIN(0,E23-2*E24)</f>
        <v>0</v>
      </c>
      <c r="F26" s="148">
        <f>MIN(0,F23-2*F24)</f>
        <v>0</v>
      </c>
      <c r="G26" s="146">
        <f>MIN(0,G23-2*G24)</f>
        <v>0</v>
      </c>
      <c r="H26" s="146">
        <f>MIN(0,H23-2*H24)</f>
        <v>0</v>
      </c>
      <c r="I26" s="146">
        <f>MIN(0,I23-2*I24)</f>
        <v>0</v>
      </c>
      <c r="J26" s="146">
        <f t="shared" ref="J26:U26" si="23">MIN(0,J23-2*J24)</f>
        <v>0</v>
      </c>
      <c r="K26" s="146">
        <f>MIN(0,K23-2*K24)</f>
        <v>0</v>
      </c>
      <c r="L26" s="146">
        <f t="shared" si="23"/>
        <v>0</v>
      </c>
      <c r="M26" s="146">
        <f t="shared" si="23"/>
        <v>0</v>
      </c>
      <c r="N26" s="146">
        <f t="shared" si="23"/>
        <v>0</v>
      </c>
      <c r="O26" s="146">
        <f>MIN(0,O23-2*O24)</f>
        <v>0</v>
      </c>
      <c r="P26" s="146"/>
      <c r="Q26" s="161">
        <f t="shared" si="23"/>
        <v>0</v>
      </c>
      <c r="R26" s="146">
        <f t="shared" si="23"/>
        <v>0</v>
      </c>
      <c r="S26" s="146">
        <f t="shared" si="23"/>
        <v>0</v>
      </c>
      <c r="T26" s="334">
        <f t="shared" si="23"/>
        <v>0</v>
      </c>
      <c r="U26" s="146">
        <f t="shared" si="23"/>
        <v>0</v>
      </c>
      <c r="V26" s="146"/>
      <c r="W26" s="146">
        <f t="shared" ref="W26:AG26" si="24">MIN(0,W23-2*W24)</f>
        <v>0</v>
      </c>
      <c r="X26" s="146">
        <f t="shared" si="24"/>
        <v>0</v>
      </c>
      <c r="Y26" s="146">
        <f t="shared" si="24"/>
        <v>0</v>
      </c>
      <c r="Z26" s="146">
        <f t="shared" si="24"/>
        <v>0</v>
      </c>
      <c r="AA26" s="146">
        <f t="shared" si="24"/>
        <v>0</v>
      </c>
      <c r="AB26" s="146">
        <f t="shared" si="24"/>
        <v>0</v>
      </c>
      <c r="AC26" s="146">
        <f t="shared" si="24"/>
        <v>0</v>
      </c>
      <c r="AD26" s="146">
        <f t="shared" si="24"/>
        <v>0</v>
      </c>
      <c r="AE26" s="146">
        <f t="shared" si="24"/>
        <v>0</v>
      </c>
      <c r="AF26" s="146">
        <f t="shared" si="24"/>
        <v>0</v>
      </c>
      <c r="AG26" s="146">
        <f t="shared" si="24"/>
        <v>0</v>
      </c>
      <c r="AH26" s="146">
        <f>MIN(0,AH23-2*AH24)</f>
        <v>0</v>
      </c>
      <c r="AI26" s="146">
        <f t="shared" ref="AI26:AS26" si="25">MIN(0,AI23-2*AI24)</f>
        <v>0</v>
      </c>
      <c r="AJ26" s="146">
        <f t="shared" si="25"/>
        <v>0</v>
      </c>
      <c r="AK26" s="146">
        <f t="shared" si="25"/>
        <v>0</v>
      </c>
      <c r="AL26" s="259">
        <f t="shared" si="25"/>
        <v>0</v>
      </c>
      <c r="AM26" s="259">
        <f t="shared" si="25"/>
        <v>0</v>
      </c>
      <c r="AN26" s="259">
        <f t="shared" si="25"/>
        <v>0</v>
      </c>
      <c r="AO26" s="259">
        <f t="shared" si="25"/>
        <v>0</v>
      </c>
      <c r="AP26" s="146">
        <f t="shared" si="25"/>
        <v>0</v>
      </c>
      <c r="AQ26" s="146">
        <f t="shared" si="25"/>
        <v>0</v>
      </c>
      <c r="AR26" s="146">
        <f t="shared" si="25"/>
        <v>0</v>
      </c>
      <c r="AS26" s="146">
        <f t="shared" si="25"/>
        <v>0</v>
      </c>
      <c r="AT26" s="146">
        <f>MIN(0,AT23-2*AT24)</f>
        <v>0</v>
      </c>
      <c r="AU26" s="146">
        <f>MIN(0,AU23-2*AU24)</f>
        <v>0</v>
      </c>
      <c r="AV26" s="146">
        <f>MIN(0,AV23-2*AV24)</f>
        <v>0</v>
      </c>
      <c r="AW26" s="146">
        <f>MIN(0,AW23-2*AW24)</f>
        <v>0</v>
      </c>
      <c r="AX26" s="146">
        <f>MIN(0,AX23-2*AX24)</f>
        <v>0</v>
      </c>
    </row>
    <row r="27" spans="1:65">
      <c r="C27" s="71"/>
      <c r="D27" s="71"/>
    </row>
    <row r="30" spans="1:65">
      <c r="C30" s="120" t="str">
        <f>Criterios!A4</f>
        <v>Fecha Informe: 03 may. 2024</v>
      </c>
      <c r="D30" s="120"/>
    </row>
    <row r="32" spans="1:65">
      <c r="C32" s="1"/>
      <c r="D32" s="1"/>
    </row>
  </sheetData>
  <sheetProtection algorithmName="SHA-512" hashValue="SHoaTacd+eB6EdpwL9U7RLgycK898aGpT2fGH7OY5ysJ5lHC/5KSZlPWnnEUvvUv4ePvxSwZupWSeNnaHCfywg==" saltValue="HECN8L5KETsydur54PSgE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8"/>
      <c r="D2" s="265" t="str">
        <f>Criterios!A9 &amp;"  "&amp;Criterios!B9</f>
        <v>Tribunales de Justicia  ASTURIAS</v>
      </c>
      <c r="E2" s="266"/>
    </row>
    <row r="3" spans="2:20" ht="17.25" customHeight="1">
      <c r="C3" s="270"/>
      <c r="D3" s="265" t="str">
        <f>Criterios!A10 &amp;"  "&amp;Criterios!B10</f>
        <v>Provincias  ASTURIAS</v>
      </c>
      <c r="E3" s="266"/>
    </row>
    <row r="4" spans="2:20" ht="17.25" customHeight="1" thickBot="1">
      <c r="D4" s="265" t="str">
        <f>Criterios!A11 &amp;"  "&amp;Criterios!B11</f>
        <v>Resumenes por Partidos Judiciales  LENA</v>
      </c>
      <c r="E4" s="266"/>
    </row>
    <row r="5" spans="2:20" ht="12.75" customHeight="1">
      <c r="B5" s="275"/>
      <c r="C5" s="1279" t="str">
        <f>"Año:  " &amp;Criterios!B5 &amp; "          Trimestre   " &amp;Criterios!D5 &amp; " al " &amp;Criterios!D6</f>
        <v>Año:  2023          Trimestre   1 al 4</v>
      </c>
      <c r="D5" s="1267" t="s">
        <v>128</v>
      </c>
      <c r="E5" s="1309" t="s">
        <v>13</v>
      </c>
      <c r="F5" s="1306" t="s">
        <v>9</v>
      </c>
      <c r="G5" s="1303" t="s">
        <v>129</v>
      </c>
      <c r="H5" s="1300" t="s">
        <v>7</v>
      </c>
      <c r="I5" s="1264" t="s">
        <v>120</v>
      </c>
      <c r="J5" s="1293" t="s">
        <v>121</v>
      </c>
      <c r="K5" s="1255" t="s">
        <v>122</v>
      </c>
      <c r="M5" s="165"/>
      <c r="N5" s="173" t="s">
        <v>277</v>
      </c>
      <c r="O5" s="165"/>
      <c r="P5" s="165"/>
      <c r="Q5" s="174" t="s">
        <v>278</v>
      </c>
      <c r="R5" s="174"/>
      <c r="S5" s="172"/>
      <c r="T5" s="172"/>
    </row>
    <row r="6" spans="2:20" ht="12.75" customHeight="1">
      <c r="B6" s="276"/>
      <c r="C6" s="1280"/>
      <c r="D6" s="1268"/>
      <c r="E6" s="1310"/>
      <c r="F6" s="1307"/>
      <c r="G6" s="1304"/>
      <c r="H6" s="1301"/>
      <c r="I6" s="1265"/>
      <c r="J6" s="1294"/>
      <c r="K6" s="1256"/>
      <c r="M6" s="1296" t="s">
        <v>293</v>
      </c>
      <c r="N6" s="1296" t="s">
        <v>274</v>
      </c>
      <c r="O6" s="1296" t="s">
        <v>275</v>
      </c>
      <c r="P6" s="1296" t="s">
        <v>276</v>
      </c>
      <c r="Q6" s="1296" t="s">
        <v>293</v>
      </c>
      <c r="R6" s="1296" t="s">
        <v>274</v>
      </c>
      <c r="S6" s="1296" t="s">
        <v>275</v>
      </c>
      <c r="T6" s="1296" t="s">
        <v>276</v>
      </c>
    </row>
    <row r="7" spans="2:20" ht="23.25" customHeight="1" thickBot="1">
      <c r="B7" s="277"/>
      <c r="C7" s="267" t="str">
        <f>Datos!A7</f>
        <v>COMPETENCIAS</v>
      </c>
      <c r="D7" s="1312"/>
      <c r="E7" s="1311"/>
      <c r="F7" s="1308"/>
      <c r="G7" s="1305"/>
      <c r="H7" s="1302"/>
      <c r="I7" s="1313"/>
      <c r="J7" s="1297"/>
      <c r="K7" s="1298"/>
      <c r="M7" s="1296"/>
      <c r="N7" s="1296"/>
      <c r="O7" s="1296"/>
      <c r="P7" s="1296"/>
      <c r="Q7" s="1296"/>
      <c r="R7" s="1296"/>
      <c r="S7" s="1296"/>
      <c r="T7" s="1296"/>
    </row>
    <row r="8" spans="2:20" ht="14.25">
      <c r="B8" s="179"/>
      <c r="C8" s="164" t="str">
        <f>Datos!A8</f>
        <v>Jurisdicción Civil ( 1 ):</v>
      </c>
      <c r="D8" s="242"/>
      <c r="E8" s="243"/>
      <c r="F8" s="243"/>
      <c r="G8" s="243"/>
      <c r="H8" s="272"/>
      <c r="I8" s="244"/>
      <c r="J8" s="244"/>
      <c r="K8" s="245"/>
      <c r="M8" s="165"/>
      <c r="N8" s="165"/>
      <c r="O8" s="165"/>
      <c r="P8" s="165"/>
      <c r="Q8" s="166"/>
      <c r="R8" s="166"/>
      <c r="S8" s="166"/>
      <c r="T8" s="166"/>
    </row>
    <row r="9" spans="2:20" ht="14.25">
      <c r="B9" s="180" t="s">
        <v>246</v>
      </c>
      <c r="C9" s="163" t="str">
        <f>Datos!A9</f>
        <v xml:space="preserve">Jdos. 1ª Instancia   </v>
      </c>
      <c r="D9" s="351" t="str">
        <f>IF(ISNUMBER((Indicadores!G9-(Datos!S9-M9+Q9))/(Datos!S9-M9+Q9)),(Indicadores!G9-(Datos!S9-M9+Q9))/(Datos!S9-M9+Q9)," - ")</f>
        <v xml:space="preserve"> - </v>
      </c>
      <c r="E9" s="351" t="str">
        <f>IF(ISNUMBER((Indicadores!H9-(Datos!T9-N9+R9))/(Datos!T9-N9+R9)),(Indicadores!H9-(Datos!T9-N9+R9))/(Datos!T9-N9+R9)," - ")</f>
        <v xml:space="preserve"> - </v>
      </c>
      <c r="F9" s="351" t="str">
        <f>IF(ISNUMBER((Indicadores!W9-(Datos!U9-O9+S9))/(Datos!U9-O9+S9)),(Indicadores!W9-(Datos!U9-O9+S9))/(Datos!U9-O9+S9)," - ")</f>
        <v xml:space="preserve"> - </v>
      </c>
      <c r="G9" s="352" t="str">
        <f>IF(ISNUMBER((Indicadores!AA9-(Datos!V9-P9+T9))/(Datos!V9-P9+T9)),(Indicadores!AA9-(Datos!V9-P9+T9))/(Datos!V9-P9+T9)," - ")</f>
        <v xml:space="preserve"> - </v>
      </c>
      <c r="H9" s="233" t="str">
        <f>IF(ISNUMBER((Datos!M9-Datos!W9)/Datos!W9),(Datos!M9-Datos!W9)/Datos!W9," - ")</f>
        <v xml:space="preserve"> - </v>
      </c>
      <c r="I9" s="353" t="str">
        <f>IF(ISNUMBER((Tasas!C9-Datos!BE9)/Datos!BE9),(Tasas!C9-Datos!BE9)/Datos!BE9," - ")</f>
        <v xml:space="preserve"> - </v>
      </c>
      <c r="J9" s="352" t="str">
        <f>IF(ISNUMBER((Tasas!D9-Datos!BF9)/Datos!BF9),(Tasas!D9-Datos!BF9)/Datos!BF9," - ")</f>
        <v xml:space="preserve"> - </v>
      </c>
      <c r="K9" s="354"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8" t="s">
        <v>246</v>
      </c>
      <c r="C10" s="7" t="str">
        <f>Datos!A10</f>
        <v>Jdos. Violencia contra la mujer</v>
      </c>
      <c r="D10" s="355" t="str">
        <f>IF(ISNUMBER((Datos!I10-Datos!S10)/Datos!S10),(Datos!I10-Datos!S10)/Datos!S10," - ")</f>
        <v xml:space="preserve"> - </v>
      </c>
      <c r="E10" s="351">
        <f>IF(ISNUMBER((Datos!J10-Datos!T10)/Datos!T10),(Datos!J10-Datos!T10)/Datos!T10," - ")</f>
        <v>-0.46153846153846156</v>
      </c>
      <c r="F10" s="351">
        <f>IF(ISNUMBER((Datos!K10-Datos!U10)/Datos!U10),(Datos!K10-Datos!U10)/Datos!U10," - ")</f>
        <v>1</v>
      </c>
      <c r="G10" s="352">
        <f>IF(ISNUMBER((Datos!L10-Datos!V10)/Datos!V10),(Datos!L10-Datos!V10)/Datos!V10," - ")</f>
        <v>-0.1111111111111111</v>
      </c>
      <c r="H10" s="233">
        <f>IF(ISNUMBER((Datos!M10-Datos!W10)/Datos!W10),(Datos!M10-Datos!W10)/Datos!W10," - ")</f>
        <v>0</v>
      </c>
      <c r="I10" s="353">
        <f>IF(ISNUMBER((Tasas!C10-Datos!BE10)/Datos!BE10),(Tasas!C10-Datos!BE10)/Datos!BE10," - ")</f>
        <v>-0.55555555555555558</v>
      </c>
      <c r="J10" s="352">
        <f>IF(ISNUMBER((Tasas!D10-Datos!BF10)/Datos!BF10),(Tasas!D10-Datos!BF10)/Datos!BF10," - ")</f>
        <v>-0.5</v>
      </c>
      <c r="K10" s="354">
        <f>IF(ISNUMBER((Tasas!E10-Datos!BG10)/Datos!BG10),(Tasas!E10-Datos!BG10)/Datos!BG10," - ")</f>
        <v>-0.38461538461538464</v>
      </c>
    </row>
    <row r="11" spans="2:20" ht="14.25">
      <c r="B11" s="278" t="s">
        <v>246</v>
      </c>
      <c r="C11" s="163" t="str">
        <f>Datos!A11</f>
        <v xml:space="preserve">Jdos. Familia                                   </v>
      </c>
      <c r="D11" s="351" t="str">
        <f>IF(ISNUMBER((Indicadores!G11-(Datos!S11-M11+Q11))/(Datos!S11-M11+Q11)),(Indicadores!G11-(Datos!S11-M11+Q11))/(Datos!S11-M11+Q11)," - ")</f>
        <v xml:space="preserve"> - </v>
      </c>
      <c r="E11" s="351" t="str">
        <f>IF(ISNUMBER((Indicadores!H11-(Datos!T11-N11+R11))/(Datos!T11-N11+R11)),(Indicadores!H11-(Datos!T11-N11+R11))/(Datos!T11-N11+R11)," - ")</f>
        <v xml:space="preserve"> - </v>
      </c>
      <c r="F11" s="351" t="str">
        <f>IF(ISNUMBER((Indicadores!W11-(Datos!U11-O11+S11))/(Datos!U11-O11+S11)),(Indicadores!W11-(Datos!U11-O11+S11))/(Datos!U11-O11+S11)," - ")</f>
        <v xml:space="preserve"> - </v>
      </c>
      <c r="G11" s="352" t="str">
        <f>IF(ISNUMBER((Indicadores!AA11-(Datos!V11-P11+T11))/(Datos!V11-P11+T11)),(Indicadores!AA11-(Datos!V11-P11+T11))/(Datos!V11-P11+T11)," - ")</f>
        <v xml:space="preserve"> - </v>
      </c>
      <c r="H11" s="233" t="str">
        <f>IF(ISNUMBER((Datos!M11-Datos!W11)/Datos!W11),(Datos!M11-Datos!W11)/Datos!W11," - ")</f>
        <v xml:space="preserve"> - </v>
      </c>
      <c r="I11" s="353" t="str">
        <f>IF(ISNUMBER((Tasas!C11-Datos!BE11)/Datos!BE11),(Tasas!C11-Datos!BE11)/Datos!BE11," - ")</f>
        <v xml:space="preserve"> - </v>
      </c>
      <c r="J11" s="352" t="str">
        <f>IF(ISNUMBER((Tasas!D11-Datos!BF11)/Datos!BF11),(Tasas!D11-Datos!BF11)/Datos!BF11," - ")</f>
        <v xml:space="preserve"> - </v>
      </c>
      <c r="K11" s="354"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8" t="s">
        <v>246</v>
      </c>
      <c r="C12" s="163" t="str">
        <f>Datos!A12</f>
        <v xml:space="preserve">Jdos. 1ª Instª. e Instr.                        </v>
      </c>
      <c r="D12" s="351" t="str">
        <f>IF(ISNUMBER((Indicadores!G12-(Datos!S12+M12+Q12))/(Datos!S12+M12+Q12)),(Indicadores!G12-(Datos!S12+M12+Q12))/(Datos!S12+M12+Q12)," - ")</f>
        <v xml:space="preserve"> - </v>
      </c>
      <c r="E12" s="351" t="str">
        <f>IF(ISNUMBER((Indicadores!H12-(Datos!T12+N12+R12))/(Datos!T12+N12+R12)),(Indicadores!H12-(Datos!T12+N12+R12))/(Datos!T12+N12+R12)," - ")</f>
        <v xml:space="preserve"> - </v>
      </c>
      <c r="F12" s="351" t="str">
        <f>IF(ISNUMBER((Indicadores!W12-(Datos!U12+O12+S12))/(Datos!U12+O12+S12)),(Indicadores!W12-(Datos!U12+O12+S12))/(Datos!U12+O12+S12)," - ")</f>
        <v xml:space="preserve"> - </v>
      </c>
      <c r="G12" s="352" t="str">
        <f>IF(ISNUMBER((Indicadores!AA12-(Datos!V12-P12+T12))/(Datos!V12-P12+T12)),(Indicadores!AA12-(Datos!V12-P12+T12))/(Datos!V12-P12+T12)," - ")</f>
        <v xml:space="preserve"> - </v>
      </c>
      <c r="H12" s="233">
        <f>IF(ISNUMBER((Datos!M12-Datos!W12)/Datos!W12),(Datos!M12-Datos!W12)/Datos!W12," - ")</f>
        <v>-0.21262458471760798</v>
      </c>
      <c r="I12" s="353">
        <f>IF(ISNUMBER((Tasas!C12-Datos!BE12)/Datos!BE12),(Tasas!C12-Datos!BE12)/Datos!BE12," - ")</f>
        <v>0.72824310155064509</v>
      </c>
      <c r="J12" s="352">
        <f>IF(ISNUMBER((Tasas!D12-Datos!BF12)/Datos!BF12),(Tasas!D12-Datos!BF12)/Datos!BF12," - ")</f>
        <v>-0.35385078086603139</v>
      </c>
      <c r="K12" s="354">
        <f>IF(ISNUMBER((Tasas!E12-Datos!BG12)/Datos!BG12),(Tasas!E12-Datos!BG12)/Datos!BG12," - ")</f>
        <v>0.21949100394759161</v>
      </c>
      <c r="M12" t="e">
        <f>IF(Monitorios="SI",Datos!CE12,0)</f>
        <v>#REF!</v>
      </c>
      <c r="N12" t="e">
        <f>IF(Monitorios="SI",Datos!CF12,0)</f>
        <v>#REF!</v>
      </c>
      <c r="O12" t="e">
        <f>IF(Monitorios="SI",Datos!CG12,0)</f>
        <v>#REF!</v>
      </c>
      <c r="P12" t="e">
        <f>IF(Monitorios="SI",Datos!CH12,0)</f>
        <v>#REF!</v>
      </c>
      <c r="Q12">
        <f>IF(J_V="SI",0,Datos!AG12)</f>
        <v>25</v>
      </c>
      <c r="R12">
        <f>IF(J_V="SI",0,Datos!AH12)</f>
        <v>76</v>
      </c>
      <c r="S12">
        <f>IF(J_V="SI",0,Datos!AI12)</f>
        <v>83</v>
      </c>
      <c r="T12">
        <f>IF(J_V="SI",0,Datos!AJ12)</f>
        <v>18</v>
      </c>
    </row>
    <row r="13" spans="2:20" ht="16.5" hidden="1" thickTop="1" thickBot="1">
      <c r="B13" s="181"/>
      <c r="C13" s="72" t="str">
        <f>Datos!A13</f>
        <v>TOTAL</v>
      </c>
      <c r="D13" s="356" t="str">
        <f>IF(ISNUMBER((Indicadores!G13-(Datos!S13-M13+Q13))/(Datos!S13-M13+Q13)),(Indicadores!G13-(Datos!S13-M13+Q13))/(Datos!S13-M13+Q13)," - ")</f>
        <v xml:space="preserve"> - </v>
      </c>
      <c r="E13" s="357" t="str">
        <f>IF(ISNUMBER((Indicadores!H13-(Datos!T13-N13+R13))/(Datos!T13-N13+R13)),(Indicadores!H13-(Datos!T13-N13+R13))/(Datos!T13-N13+R13)," - ")</f>
        <v xml:space="preserve"> - </v>
      </c>
      <c r="F13" s="357" t="str">
        <f>IF(ISNUMBER((Indicadores!W13-(Datos!U13-O13+S13))/(Datos!U13-O13+S13)),(Indicadores!W13-(Datos!U13-O13+S13))/(Datos!U13-O13+S13)," - ")</f>
        <v xml:space="preserve"> - </v>
      </c>
      <c r="G13" s="358" t="str">
        <f>IF(ISNUMBER((Indicadores!F13-(Datos!V13-P13+T13))/(Datos!V13-P13+T13)),(Indicadores!F13-(Datos!V13-P13+T13))/(Datos!V13-P13+T13)," - ")</f>
        <v xml:space="preserve"> - </v>
      </c>
      <c r="H13" s="359">
        <f>IF(ISNUMBER((Datos!M13-Datos!W13)/Datos!W13),(Datos!M13-Datos!W13)/Datos!W13," - ")</f>
        <v>-0.20983606557377049</v>
      </c>
      <c r="I13" s="360">
        <f>IF(ISNUMBER((Tasas!C13-Datos!BE13)/Datos!BE13),(Tasas!C13-Datos!BE13)/Datos!BE13," - ")</f>
        <v>0.7085270071943055</v>
      </c>
      <c r="J13" s="358">
        <f>IF(ISNUMBER((Tasas!D13-Datos!BF13)/Datos!BF13),(Tasas!D13-Datos!BF13)/Datos!BF13," - ")</f>
        <v>-0.35210228787926107</v>
      </c>
      <c r="K13" s="361">
        <f>IF(ISNUMBER((Tasas!E13-Datos!BG13)/Datos!BG13),(Tasas!E13-Datos!BG13)/Datos!BG13," - ")</f>
        <v>0.21547301553265333</v>
      </c>
      <c r="M13" t="e">
        <f>IF(Monitorios="SI",Datos!CE13,0)</f>
        <v>#REF!</v>
      </c>
      <c r="N13" t="e">
        <f>IF(Monitorios="SI",Datos!CF13,0)</f>
        <v>#REF!</v>
      </c>
      <c r="O13" t="e">
        <f>IF(Monitorios="SI",Datos!CG13,0)</f>
        <v>#REF!</v>
      </c>
      <c r="P13" t="e">
        <f>IF(Monitorios="SI",Datos!CH13,0)</f>
        <v>#REF!</v>
      </c>
      <c r="Q13">
        <f>IF(J_V="SI",0,Datos!AG13)</f>
        <v>25</v>
      </c>
      <c r="R13">
        <f>IF(J_V="SI",0,Datos!AH13)</f>
        <v>76</v>
      </c>
      <c r="S13">
        <f>IF(J_V="SI",0,Datos!AI13)</f>
        <v>83</v>
      </c>
      <c r="T13">
        <f>IF(J_V="SI",0,Datos!AJ13)</f>
        <v>18</v>
      </c>
    </row>
    <row r="14" spans="2:20" ht="15" thickTop="1">
      <c r="B14" s="182"/>
      <c r="C14" s="70" t="str">
        <f>Datos!A14</f>
        <v xml:space="preserve">Jurisdicción Penal ( 2 ):                      </v>
      </c>
      <c r="D14" s="249"/>
      <c r="E14" s="250"/>
      <c r="F14" s="250"/>
      <c r="G14" s="250"/>
      <c r="H14" s="273"/>
      <c r="I14" s="250"/>
      <c r="J14" s="250"/>
      <c r="K14" s="291"/>
    </row>
    <row r="15" spans="2:20" ht="14.25">
      <c r="B15" s="278" t="s">
        <v>396</v>
      </c>
      <c r="C15" s="7" t="str">
        <f>Datos!A15</f>
        <v xml:space="preserve">Jdos. Instrucción                               </v>
      </c>
      <c r="D15" s="355" t="str">
        <f>IF(ISNUMBER(
   IF(D_I="SI",(Datos!I15-Datos!S15)/Datos!S15,(Datos!I15+Datos!AC15-(Datos!S15+Datos!AK15))/(Datos!S15+Datos!AK15))
     ),IF(D_I="SI",(Datos!I15-Datos!S15)/Datos!S15,(Datos!I15+Datos!AC15-(Datos!S15+Datos!AK15))/(Datos!S15+Datos!AK15))," - ")</f>
        <v xml:space="preserve"> - </v>
      </c>
      <c r="E15" s="351" t="str">
        <f>IF(ISNUMBER(
   IF(D_I="SI",(Datos!J15-Datos!T15)/Datos!T15,(Datos!J15+Datos!AD15-(Datos!T15+Datos!AL15))/(Datos!T15+Datos!AL15))
     ),IF(D_I="SI",(Datos!J15-Datos!T15)/Datos!T15,(Datos!J15+Datos!AD15-(Datos!T15+Datos!AL15))/(Datos!T15+Datos!AL15))," - ")</f>
        <v xml:space="preserve"> - </v>
      </c>
      <c r="F15" s="351" t="str">
        <f>IF(ISNUMBER(
   IF(D_I="SI",(Datos!K15-Datos!U15)/Datos!U15,(Datos!K15+Datos!AE15-(Datos!U15+Datos!AM15))/(Datos!U15+Datos!AM15))
     ),IF(D_I="SI",(Datos!K15-Datos!U15)/Datos!U15,(Datos!K15+Datos!AE15-(Datos!U15+Datos!AM15))/(Datos!U15+Datos!AM15))," - ")</f>
        <v xml:space="preserve"> - </v>
      </c>
      <c r="G15" s="352" t="str">
        <f>IF(ISNUMBER(
   IF(D_I="SI",(Datos!L15-Datos!V15)/Datos!V15,(Datos!L15+Datos!AF15-(Datos!V15+Datos!AN15))/(Datos!V15+Datos!AN15))
     ),IF(D_I="SI",(Datos!L15-Datos!V15)/Datos!V15,(Datos!L15+Datos!AF15-(Datos!V15+Datos!AN15))/(Datos!V15+Datos!AN15))," - ")</f>
        <v xml:space="preserve"> - </v>
      </c>
      <c r="H15" s="233" t="str">
        <f>IF(ISNUMBER((Datos!M15-Datos!W15)/Datos!W15),(Datos!M15-Datos!W15)/Datos!W15," - ")</f>
        <v xml:space="preserve"> - </v>
      </c>
      <c r="I15" s="353" t="str">
        <f>IF(ISNUMBER((Tasas!C15-Datos!BE15)/Datos!BE15),(Tasas!C15-Datos!BE15)/Datos!BE15," - ")</f>
        <v xml:space="preserve"> - </v>
      </c>
      <c r="J15" s="352" t="str">
        <f>IF(ISNUMBER((Tasas!D15-Datos!BF15)/Datos!BF15),(Tasas!D15-Datos!BF15)/Datos!BF15," - ")</f>
        <v xml:space="preserve"> - </v>
      </c>
      <c r="K15" s="354" t="str">
        <f>IF(ISNUMBER((Tasas!E15-Datos!BG15)/Datos!BG15),(Tasas!E15-Datos!BG15)/Datos!BG15," - ")</f>
        <v xml:space="preserve"> - </v>
      </c>
    </row>
    <row r="16" spans="2:20" ht="14.25">
      <c r="B16" s="278" t="s">
        <v>396</v>
      </c>
      <c r="C16" s="7" t="str">
        <f>Datos!A16</f>
        <v xml:space="preserve">Jdos. 1ª Instª. e Instr.                        </v>
      </c>
      <c r="D16" s="355">
        <f>IF(ISNUMBER(
   IF(D_I="SI",(Datos!I16-Datos!S16)/Datos!S16,(Datos!I16+Datos!AC16-(Datos!S16+Datos!AK16))/(Datos!S16+Datos!AK16))
     ),IF(D_I="SI",(Datos!I16-Datos!S16)/Datos!S16,(Datos!I16+Datos!AC16-(Datos!S16+Datos!AK16))/(Datos!S16+Datos!AK16))," - ")</f>
        <v>0.1043956043956044</v>
      </c>
      <c r="E16" s="351">
        <f>IF(ISNUMBER(
   IF(D_I="SI",(Datos!J16-Datos!T16)/Datos!T16,(Datos!J16+Datos!AD16-(Datos!T16+Datos!AL16))/(Datos!T16+Datos!AL16))
     ),IF(D_I="SI",(Datos!J16-Datos!T16)/Datos!T16,(Datos!J16+Datos!AD16-(Datos!T16+Datos!AL16))/(Datos!T16+Datos!AL16))," - ")</f>
        <v>0.16645962732919253</v>
      </c>
      <c r="F16" s="351">
        <f>IF(ISNUMBER(
   IF(D_I="SI",(Datos!K16-Datos!U16)/Datos!U16,(Datos!K16+Datos!AE16-(Datos!U16+Datos!AM16))/(Datos!U16+Datos!AM16))
     ),IF(D_I="SI",(Datos!K16-Datos!U16)/Datos!U16,(Datos!K16+Datos!AE16-(Datos!U16+Datos!AM16))/(Datos!U16+Datos!AM16))," - ")</f>
        <v>0.1207115628970775</v>
      </c>
      <c r="G16" s="352">
        <f>IF(ISNUMBER(
   IF(D_I="SI",(Datos!L16-Datos!V16)/Datos!V16,(Datos!L16+Datos!AF16-(Datos!V16+Datos!AN16))/(Datos!V16+Datos!AN16))
     ),IF(D_I="SI",(Datos!L16-Datos!V16)/Datos!V16,(Datos!L16+Datos!AF16-(Datos!V16+Datos!AN16))/(Datos!V16+Datos!AN16))," - ")</f>
        <v>0.30845771144278605</v>
      </c>
      <c r="H16" s="233">
        <f>IF(ISNUMBER((Datos!M16-Datos!W16)/Datos!W16),(Datos!M16-Datos!W16)/Datos!W16," - ")</f>
        <v>-5.5118110236220472E-2</v>
      </c>
      <c r="I16" s="353">
        <f>IF(ISNUMBER((Tasas!C16-Datos!BE16)/Datos!BE16),(Tasas!C16-Datos!BE16)/Datos!BE16," - ")</f>
        <v>0.1675240577159553</v>
      </c>
      <c r="J16" s="352">
        <f>IF(ISNUMBER((Tasas!D16-Datos!BF16)/Datos!BF16),(Tasas!D16-Datos!BF16)/Datos!BF16," - ")</f>
        <v>-0.15689110289785196</v>
      </c>
      <c r="K16" s="354">
        <f>IF(ISNUMBER((Tasas!E16-Datos!BG16)/Datos!BG16),(Tasas!E16-Datos!BG16)/Datos!BG16," - ")</f>
        <v>3.0608798737326859E-2</v>
      </c>
    </row>
    <row r="17" spans="2:20" ht="15" thickBot="1">
      <c r="B17" s="278" t="s">
        <v>396</v>
      </c>
      <c r="C17" s="7" t="str">
        <f>Datos!A17</f>
        <v>Jdos. Violencia contra la mujer</v>
      </c>
      <c r="D17" s="355">
        <f>IF(ISNUMBER(
   IF(D_I="SI",(Datos!I17-Datos!S17)/Datos!S17,(Datos!I17+Datos!AC17-(Datos!S17+Datos!AK17))/(Datos!S17+Datos!AK17))
     ),IF(D_I="SI",(Datos!I17-Datos!S17)/Datos!S17,(Datos!I17+Datos!AC17-(Datos!S17+Datos!AK17))/(Datos!S17+Datos!AK17))," - ")</f>
        <v>-0.44444444444444442</v>
      </c>
      <c r="E17" s="351">
        <f>IF(ISNUMBER(
   IF(D_I="SI",(Datos!J17-Datos!T17)/Datos!T17,(Datos!J17+Datos!AD17-(Datos!T17+Datos!AL17))/(Datos!T17+Datos!AL17))
     ),IF(D_I="SI",(Datos!J17-Datos!T17)/Datos!T17,(Datos!J17+Datos!AD17-(Datos!T17+Datos!AL17))/(Datos!T17+Datos!AL17))," - ")</f>
        <v>0.61194029850746268</v>
      </c>
      <c r="F17" s="351">
        <f>IF(ISNUMBER(
   IF(D_I="SI",(Datos!K17-Datos!U17)/Datos!U17,(Datos!K17+Datos!AE17-(Datos!U17+Datos!AM17))/(Datos!U17+Datos!AM17))
     ),IF(D_I="SI",(Datos!K17-Datos!U17)/Datos!U17,(Datos!K17+Datos!AE17-(Datos!U17+Datos!AM17))/(Datos!U17+Datos!AM17))," - ")</f>
        <v>0.40540540540540543</v>
      </c>
      <c r="G17" s="352">
        <f>IF(ISNUMBER(
   IF(D_I="SI",(Datos!L17-Datos!V17)/Datos!V17,(Datos!L17+Datos!AF17-(Datos!V17+Datos!AN17))/(Datos!V17+Datos!AN17))
     ),IF(D_I="SI",(Datos!L17-Datos!V17)/Datos!V17,(Datos!L17+Datos!AF17-(Datos!V17+Datos!AN17))/(Datos!V17+Datos!AN17))," - ")</f>
        <v>0.4</v>
      </c>
      <c r="H17" s="233">
        <f>IF(ISNUMBER((Datos!M17-Datos!W17)/Datos!W17),(Datos!M17-Datos!W17)/Datos!W17," - ")</f>
        <v>2.5714285714285716</v>
      </c>
      <c r="I17" s="353">
        <f>IF(ISNUMBER((Tasas!C17-Datos!BE17)/Datos!BE17),(Tasas!C17-Datos!BE17)/Datos!BE17," - ")</f>
        <v>-3.8461538461539487E-3</v>
      </c>
      <c r="J17" s="352">
        <f>IF(ISNUMBER((Tasas!D17-Datos!BF17)/Datos!BF17),(Tasas!D17-Datos!BF17)/Datos!BF17," - ")</f>
        <v>1.5412087912087911</v>
      </c>
      <c r="K17" s="354">
        <f>IF(ISNUMBER((Tasas!E17-Datos!BG17)/Datos!BG17),(Tasas!E17-Datos!BG17)/Datos!BG17," - ")</f>
        <v>-1.2217194570135807E-2</v>
      </c>
    </row>
    <row r="18" spans="2:20" ht="16.5" hidden="1" thickTop="1" thickBot="1">
      <c r="B18" s="181"/>
      <c r="C18" s="72" t="str">
        <f>Datos!A18</f>
        <v>TOTAL</v>
      </c>
      <c r="D18" s="356">
        <f>IF(ISNUMBER(
   IF(D_I="SI",(Datos!I18-Datos!S18)/Datos!S18,(Datos!I18+Datos!AC18-(Datos!S18+Datos!AK18))/(Datos!S18+Datos!AK18))
     ),IF(D_I="SI",(Datos!I18-Datos!S18)/Datos!S18,(Datos!I18+Datos!AC18-(Datos!S18+Datos!AK18))/(Datos!S18+Datos!AK18))," - ")</f>
        <v>5.5E-2</v>
      </c>
      <c r="E18" s="357">
        <f>IF(ISNUMBER(
   IF(D_I="SI",(Datos!J18-Datos!T18)/Datos!T18,(Datos!J18+Datos!AD18-(Datos!T18+Datos!AL18))/(Datos!T18+Datos!AL18))
     ),IF(D_I="SI",(Datos!J18-Datos!T18)/Datos!T18,(Datos!J18+Datos!AD18-(Datos!T18+Datos!AL18))/(Datos!T18+Datos!AL18))," - ")</f>
        <v>0.2006880733944954</v>
      </c>
      <c r="F18" s="357">
        <f>IF(ISNUMBER(
   IF(D_I="SI",(Datos!K18-Datos!U18)/Datos!U18,(Datos!K18+Datos!AE18-(Datos!U18+Datos!AM18))/(Datos!U18+Datos!AM18))
     ),IF(D_I="SI",(Datos!K18-Datos!U18)/Datos!U18,(Datos!K18+Datos!AE18-(Datos!U18+Datos!AM18))/(Datos!U18+Datos!AM18))," - ")</f>
        <v>0.14518002322880372</v>
      </c>
      <c r="G18" s="358">
        <f>IF(ISNUMBER(
   IF(D_I="SI",(Datos!L18-Datos!V18)/Datos!V18,(Datos!L18+Datos!AF18-(Datos!V18+Datos!AN18))/(Datos!V18+Datos!AN18))
     ),IF(D_I="SI",(Datos!L18-Datos!V18)/Datos!V18,(Datos!L18+Datos!AF18-(Datos!V18+Datos!AN18))/(Datos!V18+Datos!AN18))," - ")</f>
        <v>0.3127962085308057</v>
      </c>
      <c r="H18" s="359">
        <f>IF(ISNUMBER((Datos!M18-Datos!W18)/Datos!W18),(Datos!M18-Datos!W18)/Datos!W18," - ")</f>
        <v>8.2089552238805971E-2</v>
      </c>
      <c r="I18" s="360">
        <f>IF(ISNUMBER((Tasas!C18-Datos!BE18)/Datos!BE18),(Tasas!C18-Datos!BE18)/Datos!BE18," - ")</f>
        <v>0.1463666689097603</v>
      </c>
      <c r="J18" s="358">
        <f>IF(ISNUMBER((Tasas!D18-Datos!BF18)/Datos!BF18),(Tasas!D18-Datos!BF18)/Datos!BF18," - ")</f>
        <v>-5.509218612818257E-2</v>
      </c>
      <c r="K18" s="361">
        <f>IF(ISNUMBER((Tasas!E18-Datos!BG18)/Datos!BG18),(Tasas!E18-Datos!BG18)/Datos!BG18," - ")</f>
        <v>2.4736232629953777E-2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5"/>
      <c r="C19" s="175" t="str">
        <f>Datos!A19</f>
        <v>TOTAL JURISDICCIONES</v>
      </c>
      <c r="D19" s="365">
        <f>IF(ISNUMBER(
   IF(J_V="SI",(Datos!I19-Datos!S19)/Datos!S19,(Datos!I19+Datos!Y19-(Datos!S19+Datos!AG19))/(Datos!S19+Datos!AG19))
     ),IF(J_V="SI",(Datos!I19-Datos!S19)/Datos!S19,(Datos!I19+Datos!Y19-(Datos!S19+Datos!AG19))/(Datos!S19+Datos!AG19))," - ")</f>
        <v>-2.5132275132275131E-2</v>
      </c>
      <c r="E19" s="366">
        <f>IF(ISNUMBER(
   IF(J_V="SI",(Datos!J19-Datos!T19)/Datos!T19,(Datos!J19+Datos!Z19-(Datos!T19+Datos!AH19))/(Datos!T19+Datos!AH19))
     ),IF(J_V="SI",(Datos!J19-Datos!T19)/Datos!T19,(Datos!J19+Datos!Z19-(Datos!T19+Datos!AH19))/(Datos!T19+Datos!AH19))," - ")</f>
        <v>8.4008097165991905E-2</v>
      </c>
      <c r="F19" s="366">
        <f>IF(ISNUMBER(
   IF(J_V="SI",(Datos!K19-Datos!U19)/Datos!U19,(Datos!K19+Datos!AA19-(Datos!U19+Datos!AI19))/(Datos!U19+Datos!AI19))
     ),IF(J_V="SI",(Datos!K19-Datos!U19)/Datos!U19,(Datos!K19+Datos!AA19-(Datos!U19+Datos!AI19))/(Datos!U19+Datos!AI19))," - ")</f>
        <v>-4.7979797979797977E-2</v>
      </c>
      <c r="G19" s="367">
        <f>IF(ISNUMBER(
   IF(J_V="SI",(Datos!L19-Datos!V19)/Datos!V19,(Datos!L19+Datos!AB19-(Datos!V19+Datos!AJ19))/(Datos!V19+Datos!AJ19))
     ),IF(J_V="SI",(Datos!L19-Datos!V19)/Datos!V19,(Datos!L19+Datos!AB19-(Datos!V19+Datos!AJ19))/(Datos!V19+Datos!AJ19))," - ")</f>
        <v>0.35549525101763907</v>
      </c>
      <c r="H19" s="368">
        <f>IF(ISNUMBER((Datos!M19-Datos!W19)/Datos!W19),(Datos!M19-Datos!W19)/Datos!W19," - ")</f>
        <v>-0.12072892938496584</v>
      </c>
      <c r="I19" s="365">
        <f>IF(ISNUMBER((Tasas!C19-Datos!BE19)/Datos!BE19),(Tasas!C19-Datos!BE19)/Datos!BE19," - ")</f>
        <v>0.42380933528643261</v>
      </c>
      <c r="J19" s="366">
        <f>IF(ISNUMBER((Tasas!D19-Datos!BF19)/Datos!BF19),(Tasas!D19-Datos!BF19)/Datos!BF19," - ")</f>
        <v>-0.32084827319621989</v>
      </c>
      <c r="K19" s="367">
        <f>IF(ISNUMBER((Tasas!E19-Datos!BG19)/Datos!BG19),(Tasas!E19-Datos!BG19)/Datos!BG19," - ")</f>
        <v>0.10691635824164727</v>
      </c>
    </row>
    <row r="20" spans="2:20" ht="15.75" customHeight="1" thickTop="1" thickBot="1">
      <c r="B20" s="170"/>
      <c r="C20" s="815" t="s">
        <v>264</v>
      </c>
      <c r="D20" s="816">
        <f t="shared" ref="D20:K20" ca="1" si="0">IF(ISNUMBER(SUMIF($B8:$B18,$B20,D8:D18)/INDIRECT("Datos!AP"&amp;ROW()-1)),SUMIF($B8:$B18,$B20,D8:D18)/INDIRECT("Datos!AP"&amp;ROW()-1),"-")</f>
        <v>0</v>
      </c>
      <c r="E20" s="817">
        <f t="shared" ca="1" si="0"/>
        <v>0</v>
      </c>
      <c r="F20" s="817">
        <f t="shared" ca="1" si="0"/>
        <v>0</v>
      </c>
      <c r="G20" s="818">
        <f t="shared" ca="1" si="0"/>
        <v>0</v>
      </c>
      <c r="H20" s="819">
        <f t="shared" ca="1" si="0"/>
        <v>0</v>
      </c>
      <c r="I20" s="816">
        <f t="shared" ca="1" si="0"/>
        <v>0</v>
      </c>
      <c r="J20" s="817">
        <f t="shared" ca="1" si="0"/>
        <v>0</v>
      </c>
      <c r="K20" s="818">
        <f t="shared" ca="1" si="0"/>
        <v>0</v>
      </c>
    </row>
    <row r="21" spans="2:20" ht="15.75" hidden="1" customHeight="1" thickTop="1" thickBot="1">
      <c r="B21" s="171"/>
      <c r="C21" s="171" t="s">
        <v>265</v>
      </c>
      <c r="D21" s="280">
        <f t="shared" ref="D21:K21" si="1">IF(ISNUMBER( STDEV(D8:D18)),STDEV(D8:D18)," - ")</f>
        <v>0.30361984949131537</v>
      </c>
      <c r="E21" s="281">
        <f t="shared" si="1"/>
        <v>0.44291037835307095</v>
      </c>
      <c r="F21" s="281">
        <f t="shared" si="1"/>
        <v>0.40893913761435208</v>
      </c>
      <c r="G21" s="282">
        <f t="shared" si="1"/>
        <v>0.22966883673461416</v>
      </c>
      <c r="H21" s="288">
        <f t="shared" si="1"/>
        <v>1.0883145962193335</v>
      </c>
      <c r="I21" s="280">
        <f t="shared" si="1"/>
        <v>0.48041157991216465</v>
      </c>
      <c r="J21" s="281">
        <f t="shared" si="1"/>
        <v>0.76152849183054572</v>
      </c>
      <c r="K21" s="282">
        <f t="shared" si="1"/>
        <v>0.22035228452115668</v>
      </c>
    </row>
    <row r="22" spans="2:20" ht="13.5" thickTop="1">
      <c r="C22" s="1299"/>
      <c r="D22" s="1299"/>
      <c r="E22" s="71"/>
      <c r="F22" s="71"/>
      <c r="G22" s="71"/>
    </row>
    <row r="23" spans="2:20">
      <c r="C23" s="296"/>
      <c r="D23" s="279"/>
      <c r="E23" s="279"/>
      <c r="F23" s="279"/>
      <c r="G23" s="279"/>
      <c r="H23" s="279"/>
      <c r="I23" s="298"/>
      <c r="J23" s="298"/>
      <c r="K23" s="298"/>
    </row>
    <row r="24" spans="2:20">
      <c r="C24" s="297"/>
      <c r="D24" s="279"/>
      <c r="E24" s="279"/>
      <c r="F24" s="279"/>
      <c r="G24" s="279"/>
      <c r="H24" s="279"/>
      <c r="I24" s="298"/>
      <c r="J24" s="298"/>
      <c r="K24" s="298"/>
    </row>
    <row r="25" spans="2:20" hidden="1">
      <c r="C25" s="7" t="s">
        <v>262</v>
      </c>
      <c r="D25" s="167">
        <f>D23+2*D24</f>
        <v>0</v>
      </c>
      <c r="E25" s="168">
        <f t="shared" ref="E25:K25" si="2">E23+2*E24</f>
        <v>0</v>
      </c>
      <c r="F25" s="168">
        <f t="shared" si="2"/>
        <v>0</v>
      </c>
      <c r="G25" s="168">
        <f t="shared" si="2"/>
        <v>0</v>
      </c>
      <c r="H25" s="274">
        <f t="shared" si="2"/>
        <v>0</v>
      </c>
      <c r="I25" s="168">
        <f t="shared" si="2"/>
        <v>0</v>
      </c>
      <c r="J25" s="153">
        <f t="shared" si="2"/>
        <v>0</v>
      </c>
      <c r="K25" s="169">
        <f t="shared" si="2"/>
        <v>0</v>
      </c>
    </row>
    <row r="26" spans="2:20" hidden="1">
      <c r="C26" s="7" t="s">
        <v>263</v>
      </c>
      <c r="D26" s="167">
        <f>MIN(0,D23-2*D24)</f>
        <v>0</v>
      </c>
      <c r="E26" s="168">
        <f t="shared" ref="E26:K26" si="3">MIN(0,E23-2*E24)</f>
        <v>0</v>
      </c>
      <c r="F26" s="168">
        <f t="shared" si="3"/>
        <v>0</v>
      </c>
      <c r="G26" s="168">
        <f t="shared" si="3"/>
        <v>0</v>
      </c>
      <c r="H26" s="168">
        <f t="shared" si="3"/>
        <v>0</v>
      </c>
      <c r="I26" s="168">
        <f t="shared" si="3"/>
        <v>0</v>
      </c>
      <c r="J26" s="153">
        <f t="shared" si="3"/>
        <v>0</v>
      </c>
      <c r="K26" s="169">
        <f t="shared" si="3"/>
        <v>0</v>
      </c>
    </row>
    <row r="30" spans="2:20" ht="12.75" customHeight="1">
      <c r="C30" s="120" t="str">
        <f>Criterios!A4</f>
        <v>Fecha Informe: 03 may. 2024</v>
      </c>
      <c r="D30" s="149"/>
      <c r="E30" s="149"/>
      <c r="F30" s="149"/>
      <c r="G30" s="149"/>
      <c r="H30" s="149"/>
      <c r="I30" s="149"/>
      <c r="J30" s="149"/>
      <c r="K30" s="149"/>
      <c r="L30" s="149"/>
      <c r="M30" s="149"/>
    </row>
    <row r="31" spans="2:20" ht="12.75" customHeight="1">
      <c r="C31" s="149"/>
      <c r="D31" s="149"/>
      <c r="E31" s="149"/>
      <c r="F31" s="149"/>
      <c r="G31" s="149"/>
      <c r="H31" s="149"/>
      <c r="I31" s="149"/>
      <c r="J31" s="149"/>
      <c r="K31" s="149"/>
      <c r="L31" s="149"/>
      <c r="M31" s="149"/>
    </row>
    <row r="32" spans="2:20" ht="12.75" customHeight="1">
      <c r="C32" s="149"/>
      <c r="D32" s="149"/>
      <c r="E32" s="149"/>
      <c r="F32" s="149"/>
      <c r="G32" s="149"/>
      <c r="H32" s="149"/>
      <c r="I32" s="149"/>
      <c r="J32" s="149"/>
      <c r="K32" s="149"/>
      <c r="L32" s="149"/>
      <c r="M32" s="149"/>
    </row>
    <row r="33" spans="3:13" ht="12.75" customHeight="1">
      <c r="C33" s="149"/>
      <c r="D33" s="149"/>
      <c r="E33" s="149"/>
      <c r="F33" s="149"/>
      <c r="G33" s="149"/>
      <c r="H33" s="149"/>
      <c r="I33" s="149"/>
      <c r="J33" s="149"/>
      <c r="K33" s="149"/>
      <c r="L33" s="149"/>
      <c r="M33" s="149"/>
    </row>
  </sheetData>
  <sheetProtection algorithmName="SHA-512" hashValue="8MvBhq7jsofRvHnryXVSuzmxiTxe5c1Z0ZxRzszMS1SFNodo+ZSG3OgTmw7VHAzbK+Z4bXBrJAGkIA2CJKpJmQ==" saltValue="9VrP10H9UXTRB9jyhvZvy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30" customWidth="1"/>
    <col min="2" max="2" width="41.42578125" style="474" customWidth="1"/>
    <col min="3" max="3" width="18.85546875" style="1029" hidden="1" customWidth="1"/>
    <col min="4" max="4" width="13.5703125" style="1029" hidden="1" customWidth="1"/>
    <col min="5" max="5" width="13.42578125" style="1029" hidden="1" customWidth="1"/>
    <col min="6" max="7" width="12" style="1029" hidden="1" customWidth="1"/>
    <col min="8" max="8" width="12.5703125" style="1029" hidden="1" customWidth="1"/>
    <col min="9" max="9" width="13.42578125" style="1029" hidden="1" customWidth="1"/>
    <col min="10" max="10" width="13" style="1029" hidden="1" customWidth="1"/>
    <col min="11" max="13" width="14.5703125" style="1029" hidden="1" customWidth="1"/>
    <col min="14" max="15" width="14.28515625" style="1029" customWidth="1"/>
    <col min="16" max="16" width="12.28515625" style="1029" hidden="1" customWidth="1"/>
    <col min="17" max="17" width="14.28515625" style="1029" customWidth="1"/>
    <col min="18" max="18" width="0" style="1029" hidden="1" customWidth="1"/>
    <col min="19" max="23" width="14.28515625" style="1029" customWidth="1"/>
    <col min="24" max="24" width="12.7109375" style="1029" customWidth="1"/>
    <col min="25" max="25" width="13" style="1029" customWidth="1"/>
    <col min="26" max="27" width="12.5703125" style="1029" customWidth="1"/>
    <col min="28" max="28" width="12.7109375" style="1029" customWidth="1"/>
    <col min="29" max="30" width="13" style="1029" customWidth="1"/>
    <col min="31" max="31" width="11.42578125" style="1029" hidden="1" customWidth="1"/>
    <col min="32" max="16384" width="11.42578125" style="1029"/>
  </cols>
  <sheetData>
    <row r="1" spans="1:31" ht="108" customHeight="1">
      <c r="A1" s="1029"/>
    </row>
    <row r="2" spans="1:31">
      <c r="B2" s="497"/>
      <c r="E2" s="1031"/>
    </row>
    <row r="3" spans="1:31" s="474" customFormat="1" ht="13.5" thickBot="1">
      <c r="A3" s="490"/>
      <c r="B3" s="491" t="s">
        <v>355</v>
      </c>
      <c r="E3" s="497"/>
    </row>
    <row r="4" spans="1:31" s="474" customFormat="1" ht="15.75" thickBot="1">
      <c r="A4" s="1088" t="s">
        <v>360</v>
      </c>
      <c r="B4" s="1099" t="str">
        <f>Criterios!B9</f>
        <v>ASTURIAS</v>
      </c>
      <c r="C4" s="1089"/>
      <c r="D4" s="1089"/>
      <c r="E4" s="1090"/>
      <c r="F4" s="1089"/>
      <c r="G4" s="546"/>
      <c r="H4" s="1329" t="s">
        <v>361</v>
      </c>
      <c r="I4" s="1330"/>
      <c r="J4" s="1330"/>
      <c r="K4" s="1330"/>
      <c r="L4" s="1330"/>
      <c r="M4" s="1091"/>
      <c r="N4" s="1329" t="s">
        <v>362</v>
      </c>
      <c r="O4" s="1330"/>
      <c r="P4" s="1330"/>
      <c r="Q4" s="1330"/>
      <c r="R4" s="1330"/>
      <c r="S4" s="1330"/>
      <c r="T4" s="1330"/>
      <c r="U4" s="1330"/>
      <c r="V4" s="1330"/>
      <c r="W4" s="1330"/>
      <c r="X4" s="1330"/>
      <c r="Y4" s="1330"/>
      <c r="Z4" s="1330"/>
      <c r="AA4" s="1330"/>
      <c r="AB4" s="1330"/>
      <c r="AC4" s="1330"/>
      <c r="AD4" s="1331"/>
    </row>
    <row r="5" spans="1:31" s="474" customFormat="1" ht="15.75" customHeight="1">
      <c r="A5" s="1337" t="s">
        <v>351</v>
      </c>
      <c r="B5" s="1339" t="str">
        <f>"Año:  " &amp;Criterios!B5 &amp; "      Trimestre   " &amp;Criterios!D5 &amp; " al " &amp;Criterios!D6</f>
        <v>Año:  2023      Trimestre   1 al 4</v>
      </c>
      <c r="C5" s="1343" t="s">
        <v>261</v>
      </c>
      <c r="D5" s="1345" t="s">
        <v>128</v>
      </c>
      <c r="E5" s="1345" t="s">
        <v>92</v>
      </c>
      <c r="F5" s="1347" t="s">
        <v>9</v>
      </c>
      <c r="G5" s="1335"/>
      <c r="H5" s="1332" t="s">
        <v>356</v>
      </c>
      <c r="I5" s="1349" t="s">
        <v>358</v>
      </c>
      <c r="J5" s="1332" t="s">
        <v>357</v>
      </c>
      <c r="K5" s="1334" t="s">
        <v>302</v>
      </c>
      <c r="L5" s="1334" t="s">
        <v>359</v>
      </c>
      <c r="M5" s="1334" t="s">
        <v>353</v>
      </c>
      <c r="N5" s="1319"/>
      <c r="O5" s="1320"/>
      <c r="Q5" s="1323" t="s">
        <v>452</v>
      </c>
      <c r="R5" s="1324"/>
      <c r="S5" s="1325"/>
      <c r="T5" s="1323"/>
      <c r="U5" s="1324"/>
      <c r="V5" s="1325"/>
      <c r="W5" s="1323" t="s">
        <v>272</v>
      </c>
      <c r="X5" s="1324"/>
      <c r="Y5" s="1324"/>
      <c r="Z5" s="1325"/>
      <c r="AA5" s="1323" t="s">
        <v>447</v>
      </c>
      <c r="AB5" s="1324"/>
      <c r="AC5" s="1324"/>
      <c r="AD5" s="1325"/>
    </row>
    <row r="6" spans="1:31" s="474" customFormat="1" ht="21.75" customHeight="1" thickBot="1">
      <c r="A6" s="1338"/>
      <c r="B6" s="1340"/>
      <c r="C6" s="1344"/>
      <c r="D6" s="1346"/>
      <c r="E6" s="1346"/>
      <c r="F6" s="1348"/>
      <c r="G6" s="1335"/>
      <c r="H6" s="1333"/>
      <c r="I6" s="1350"/>
      <c r="J6" s="1333"/>
      <c r="K6" s="1335"/>
      <c r="L6" s="1335"/>
      <c r="M6" s="1335"/>
      <c r="N6" s="1321"/>
      <c r="O6" s="1322"/>
      <c r="P6" s="1092"/>
      <c r="Q6" s="1326"/>
      <c r="R6" s="1327"/>
      <c r="S6" s="1328"/>
      <c r="T6" s="1326"/>
      <c r="U6" s="1327"/>
      <c r="V6" s="1328"/>
      <c r="W6" s="1326"/>
      <c r="X6" s="1327"/>
      <c r="Y6" s="1327"/>
      <c r="Z6" s="1328"/>
      <c r="AA6" s="1326"/>
      <c r="AB6" s="1327"/>
      <c r="AC6" s="1327"/>
      <c r="AD6" s="1328"/>
    </row>
    <row r="7" spans="1:31" s="474" customFormat="1" ht="84" customHeight="1">
      <c r="A7" s="1338"/>
      <c r="B7" s="1093" t="str">
        <f>Datos!A7</f>
        <v>COMPETENCIAS</v>
      </c>
      <c r="C7" s="1344"/>
      <c r="D7" s="1346"/>
      <c r="E7" s="1346"/>
      <c r="F7" s="1348"/>
      <c r="G7" s="1335"/>
      <c r="H7" s="1333"/>
      <c r="I7" s="1350"/>
      <c r="J7" s="1333"/>
      <c r="K7" s="1335"/>
      <c r="L7" s="1335"/>
      <c r="M7" s="1336"/>
      <c r="N7" s="1094" t="s">
        <v>229</v>
      </c>
      <c r="O7" s="1094" t="s">
        <v>393</v>
      </c>
      <c r="P7" s="1095" t="s">
        <v>394</v>
      </c>
      <c r="Q7" s="1096" t="s">
        <v>395</v>
      </c>
      <c r="R7" s="1095" t="s">
        <v>386</v>
      </c>
      <c r="S7" s="1096" t="s">
        <v>828</v>
      </c>
      <c r="T7" s="1148" t="s">
        <v>829</v>
      </c>
      <c r="U7" s="1148" t="s">
        <v>830</v>
      </c>
      <c r="V7" s="1148" t="s">
        <v>831</v>
      </c>
      <c r="W7" s="1094" t="s">
        <v>448</v>
      </c>
      <c r="X7" s="1162" t="s">
        <v>847</v>
      </c>
      <c r="Y7" s="1162" t="s">
        <v>848</v>
      </c>
      <c r="Z7" s="1163" t="s">
        <v>849</v>
      </c>
      <c r="AA7" s="1097" t="s">
        <v>448</v>
      </c>
      <c r="AB7" s="1162" t="s">
        <v>449</v>
      </c>
      <c r="AC7" s="1162" t="s">
        <v>850</v>
      </c>
      <c r="AD7" s="1163" t="s">
        <v>851</v>
      </c>
      <c r="AE7" s="1098" t="s">
        <v>826</v>
      </c>
    </row>
    <row r="8" spans="1:31" ht="15">
      <c r="A8" s="1341" t="str">
        <f>Datos!A8</f>
        <v>Jurisdicción Civil ( 1 ):</v>
      </c>
      <c r="B8" s="1342"/>
      <c r="C8" s="1036"/>
      <c r="D8" s="1036"/>
      <c r="E8" s="1037"/>
      <c r="F8" s="1037"/>
      <c r="G8" s="1037"/>
      <c r="H8" s="1038"/>
      <c r="I8" s="1036"/>
      <c r="J8" s="1038"/>
      <c r="K8" s="1039"/>
      <c r="L8" s="1039"/>
      <c r="M8" s="269"/>
      <c r="N8" s="1039"/>
      <c r="O8" s="1039"/>
      <c r="P8" s="1040"/>
      <c r="Q8" s="1041"/>
      <c r="R8" s="1040"/>
      <c r="S8" s="1041"/>
      <c r="T8" s="1042"/>
      <c r="U8" s="1042"/>
      <c r="V8" s="1044"/>
      <c r="W8" s="1042"/>
      <c r="X8" s="1043"/>
      <c r="Y8" s="1043"/>
      <c r="Z8" s="1044"/>
      <c r="AA8" s="1045"/>
      <c r="AB8" s="1043"/>
      <c r="AC8" s="1043"/>
      <c r="AD8" s="1043"/>
      <c r="AE8" s="1044"/>
    </row>
    <row r="9" spans="1:31" ht="15">
      <c r="A9" s="1046">
        <f>ABS(Datos!AO9)</f>
        <v>0</v>
      </c>
      <c r="B9" s="505" t="str">
        <f>Datos!A9</f>
        <v xml:space="preserve">Jdos. 1ª Instancia   </v>
      </c>
      <c r="C9" s="228" t="str">
        <f t="shared" ref="C9:C12" si="0">IF(ISNUMBER(H9-E9+F9),H9-E9+F9," - ")</f>
        <v xml:space="preserve"> - </v>
      </c>
      <c r="D9" s="228" t="str">
        <f>IF(ISNUMBER(IF(J_V="SI",Datos!I9,Datos!I9+Datos!Y9)-IF(Monitorios="SI",Datos!CA9,0)),
                          IF(J_V="SI",Datos!I9,Datos!I9+Datos!Y9)-IF(Monitorios="SI",Datos!CA9,0),
                          " - ")</f>
        <v xml:space="preserve"> - </v>
      </c>
      <c r="E9" s="229" t="str">
        <f>IF(ISNUMBER(IF(J_V="SI",Datos!J9,Datos!J9+Datos!Z9)-IF(Monitorios="SI",Datos!CB9,0)),
                          IF(J_V="SI",Datos!J9,Datos!J9+Datos!Z9)-IF(Monitorios="SI",Datos!CB9,0),
                          " - ")</f>
        <v xml:space="preserve"> - </v>
      </c>
      <c r="F9" s="229" t="str">
        <f>IF(ISNUMBER(IF(J_V="SI",Datos!K9,Datos!K9+Datos!AA9)-IF(Monitorios="SI",Datos!CC9,0)),
                          IF(J_V="SI",Datos!K9,Datos!K9+Datos!AA9)-IF(Monitorios="SI",Datos!CC9,0),
                          " - ")</f>
        <v xml:space="preserve"> - </v>
      </c>
      <c r="G9" s="1037" t="str">
        <f>IF(Datos!E9&lt;&gt;"",Datos!E9,Datos!D9)</f>
        <v>01</v>
      </c>
      <c r="H9" s="230" t="str">
        <f>IF(ISNUMBER(IF(J_V="SI",Datos!L9,Datos!L9+Datos!AB9)-IF(Monitorios="SI",Datos!CD9,0)),
                          IF(J_V="SI",Datos!L9,Datos!L9+Datos!AB9)-IF(Monitorios="SI",Datos!CD9,0),
                          " - ")</f>
        <v xml:space="preserve"> - </v>
      </c>
      <c r="I9" s="1047" t="str">
        <f>IF(ISNUMBER(Datos!AS9/Datos!BM9),Datos!AS9/Datos!BM9," - ")</f>
        <v xml:space="preserve"> - </v>
      </c>
      <c r="J9" s="1048">
        <f>IF(ISNUMBER(Datos!BY9/Datos!CN9),Datos!BY9/Datos!CN9," - ")</f>
        <v>0</v>
      </c>
      <c r="K9" s="233" t="str">
        <f>IF(ISNUMBER((E9-F9)/C9),(E9-F9)/C9," - ")</f>
        <v xml:space="preserve"> - </v>
      </c>
      <c r="L9" s="1028" t="str">
        <f>IF(ISNUMBER(NºAsuntos!I9/NºAsuntos!G9),(NºAsuntos!I9/NºAsuntos!G9)*11," - ")</f>
        <v xml:space="preserve"> - </v>
      </c>
      <c r="M9" s="231" t="str">
        <f>IF(ISNUMBER(Datos!CL9),Datos!CL9," - ")</f>
        <v xml:space="preserve"> - </v>
      </c>
      <c r="N9" s="483">
        <f>Datos!CU9</f>
        <v>0</v>
      </c>
      <c r="O9" s="1038">
        <f>Datos!CT9</f>
        <v>0</v>
      </c>
      <c r="P9" s="1049" t="str">
        <f>IF(ISNUMBER((Datos!AS9/Datos!AQ9)),(Datos!AS9/Datos!AQ9)," - ")</f>
        <v xml:space="preserve"> - </v>
      </c>
      <c r="Q9" s="248">
        <f>IF(ISNUMBER(Datos!CQ9+Datos!CR9),Datos!CQ9+Datos!CR9*0.86," - ")</f>
        <v>0</v>
      </c>
      <c r="R9" s="246" t="str">
        <f>IF(ISNUMBER((P9/Datos!CO9)*factor_trimestre),(P9/Datos!CO9)*factor_trimestre," - ")</f>
        <v xml:space="preserve"> - </v>
      </c>
      <c r="S9" s="354">
        <f>IF(ISNUMBER((Q9/Datos!CP9)*factor_trimestre),(Q9/Datos!CP9)*factor_trimestre," - ")</f>
        <v>0</v>
      </c>
      <c r="T9" s="482">
        <f>Datos!ET9</f>
        <v>0</v>
      </c>
      <c r="U9" s="1153"/>
      <c r="V9" s="1157" t="str">
        <f>IF(U9="",IF(ISNUMBER(IF(ISNUMBER(S9),S9,0)/((Datos!EU9-Datos!ET9)/Datos!EU9)),IF(ISNUMBER(S9),S9,0)/((Datos!EU9-Datos!ET9)/Datos!EU9)," - "),IF(ISNUMBER(IF(ISNUMBER(S9),S9,0)/((Datos!EU9-U9)/Datos!EU9)),IF(ISNUMBER(S9),S9,0)/((Datos!EU9-U9)/Datos!EU9)))</f>
        <v xml:space="preserve"> - </v>
      </c>
      <c r="W9" s="482" t="str">
        <f>IF(ISNUMBER(Datos!CV9),Datos!CV9," - ")</f>
        <v xml:space="preserve"> - </v>
      </c>
      <c r="X9" s="482" t="str">
        <f>IF(ISNUMBER(Datos!DH9),Datos!DH9," - ")</f>
        <v xml:space="preserve"> - </v>
      </c>
      <c r="Y9" s="482" t="str">
        <f>IF(ISNUMBER(Datos!DI9),Datos!DI9," - ")</f>
        <v xml:space="preserve"> - </v>
      </c>
      <c r="Z9" s="338" t="str">
        <f>IF(ISNUMBER(Datos!DJ9),Datos!DJ9," - ")</f>
        <v xml:space="preserve"> - </v>
      </c>
      <c r="AA9" s="487" t="str">
        <f>IF(ISNUMBER(Datos!DG9),Datos!DG9," - ")</f>
        <v xml:space="preserve"> - </v>
      </c>
      <c r="AB9" s="337" t="str">
        <f>IF(ISNUMBER(Datos!CY9),Datos!CY9," - ")</f>
        <v xml:space="preserve"> - </v>
      </c>
      <c r="AC9" s="337" t="str">
        <f>IF(ISNUMBER(Datos!CZ9),Datos!CZ9," - ")</f>
        <v xml:space="preserve"> - </v>
      </c>
      <c r="AD9" s="337" t="str">
        <f>IF(ISNUMBER(Datos!DA9),Datos!DA9," - ")</f>
        <v xml:space="preserve"> - </v>
      </c>
      <c r="AE9" s="1149">
        <v>0</v>
      </c>
    </row>
    <row r="10" spans="1:31" ht="15">
      <c r="A10" s="1046">
        <f>ABS(Datos!AO10)</f>
        <v>1</v>
      </c>
      <c r="B10" s="505" t="str">
        <f>Datos!A10</f>
        <v>Jdos. Violencia contra la mujer</v>
      </c>
      <c r="C10" s="228">
        <f t="shared" si="0"/>
        <v>9</v>
      </c>
      <c r="D10" s="228">
        <f>IF(ISNUMBER(Datos!I10),Datos!I10," - ")</f>
        <v>9</v>
      </c>
      <c r="E10" s="229">
        <f>IF(ISNUMBER(Datos!J10),Datos!J10," - ")</f>
        <v>7</v>
      </c>
      <c r="F10" s="229">
        <f>IF(ISNUMBER(Datos!K10),Datos!K10," - ")</f>
        <v>8</v>
      </c>
      <c r="G10" s="1037" t="str">
        <f>IF(Datos!E10&lt;&gt;"",Datos!E10,Datos!D10)</f>
        <v>37</v>
      </c>
      <c r="H10" s="230">
        <f>IF(ISNUMBER(Datos!L10),Datos!L10," - ")</f>
        <v>8</v>
      </c>
      <c r="I10" s="1047" t="str">
        <f>IF(ISNUMBER(Datos!AS10/Datos!BM10),Datos!AS10/Datos!BM10," - ")</f>
        <v xml:space="preserve"> - </v>
      </c>
      <c r="J10" s="1048">
        <f>IF(ISNUMBER(Datos!BY10/Datos!CN10),Datos!BY10/Datos!CN10," - ")</f>
        <v>0</v>
      </c>
      <c r="K10" s="233">
        <f t="shared" ref="K10:K12" si="1">IF(ISNUMBER((E10-F10)/C10),(E10-F10)/C10," - ")</f>
        <v>-0.1111111111111111</v>
      </c>
      <c r="L10" s="1028">
        <f>IF(ISNUMBER(NºAsuntos!I10/NºAsuntos!G10),(NºAsuntos!I10/NºAsuntos!G10)*11," - ")</f>
        <v>11</v>
      </c>
      <c r="M10" s="231" t="str">
        <f>IF(ISNUMBER(Datos!CL10),Datos!CL10," - ")</f>
        <v xml:space="preserve"> - </v>
      </c>
      <c r="N10" s="483">
        <f>Datos!CU10</f>
        <v>0</v>
      </c>
      <c r="O10" s="1038">
        <f>Datos!CT10</f>
        <v>0</v>
      </c>
      <c r="P10" s="1049" t="str">
        <f>IF(ISNUMBER((Datos!AS10/Datos!AQ10)),(Datos!AS10/Datos!AQ10)," - ")</f>
        <v xml:space="preserve"> - </v>
      </c>
      <c r="Q10" s="248" t="str">
        <f>IF(ISNUMBER(Datos!CQ10),Datos!CQ10," - ")</f>
        <v xml:space="preserve"> - </v>
      </c>
      <c r="R10" s="246" t="str">
        <f>IF(ISNUMBER((P10/Datos!CO10)*factor_trimestre),(P10/Datos!CO10)*factor_trimestre," - ")</f>
        <v xml:space="preserve"> - </v>
      </c>
      <c r="S10" s="354" t="str">
        <f>IF(ISNUMBER((Q10/Datos!CP10)*factor_trimestre),(Q10/Datos!CP10)*factor_trimestre," - ")</f>
        <v xml:space="preserve"> - </v>
      </c>
      <c r="T10" s="482">
        <f>Datos!ET10</f>
        <v>0</v>
      </c>
      <c r="U10" s="1153"/>
      <c r="V10" s="1157" t="str">
        <f>IF(U10="",IF(ISNUMBER(IF(ISNUMBER(S10),S10,0)/((Datos!EU10-Datos!ET10)/Datos!EU10)),IF(ISNUMBER(S10),S10,0)/((Datos!EU10-Datos!ET10)/Datos!EU10)," - "),IF(ISNUMBER(IF(ISNUMBER(S10),S10,0)/((Datos!EU10-U10)/Datos!EU10)),IF(ISNUMBER(S10),S10,0)/((Datos!EU10-U10)/Datos!EU10)))</f>
        <v xml:space="preserve"> - </v>
      </c>
      <c r="W10" s="482" t="str">
        <f>IF(ISNUMBER(Datos!CV10),Datos!CV10," - ")</f>
        <v xml:space="preserve"> - </v>
      </c>
      <c r="X10" s="482" t="str">
        <f>IF(ISNUMBER(Datos!DH10),Datos!DH10," - ")</f>
        <v xml:space="preserve"> - </v>
      </c>
      <c r="Y10" s="482" t="str">
        <f>IF(ISNUMBER(Datos!DI10),Datos!DI10," - ")</f>
        <v xml:space="preserve"> - </v>
      </c>
      <c r="Z10" s="338" t="str">
        <f>IF(ISNUMBER(Datos!DJ10),Datos!DJ10," - ")</f>
        <v xml:space="preserve"> - </v>
      </c>
      <c r="AA10" s="487" t="str">
        <f>IF(ISNUMBER(Datos!DG10),Datos!DG10," - ")</f>
        <v xml:space="preserve"> - </v>
      </c>
      <c r="AB10" s="337" t="str">
        <f>IF(ISNUMBER(Datos!CY10),Datos!CY10," - ")</f>
        <v xml:space="preserve"> - </v>
      </c>
      <c r="AC10" s="337" t="str">
        <f>IF(ISNUMBER(Datos!CZ10),Datos!CZ10," - ")</f>
        <v xml:space="preserve"> - </v>
      </c>
      <c r="AD10" s="337" t="str">
        <f>IF(ISNUMBER(Datos!DA10),Datos!DA10," - ")</f>
        <v xml:space="preserve"> - </v>
      </c>
      <c r="AE10" s="1149">
        <v>0</v>
      </c>
    </row>
    <row r="11" spans="1:31" ht="15">
      <c r="A11" s="1046">
        <f>ABS(Datos!AO11)</f>
        <v>0</v>
      </c>
      <c r="B11" s="505" t="str">
        <f>Datos!A11</f>
        <v xml:space="preserve">Jdos. Familia                                   </v>
      </c>
      <c r="C11" s="228" t="str">
        <f t="shared" si="0"/>
        <v xml:space="preserve"> - </v>
      </c>
      <c r="D11" s="228" t="str">
        <f>IF(ISNUMBER(IF(J_V="SI",Datos!I11,Datos!I11+Datos!Y11)-IF(Monitorios="SI",Datos!CA11,0)),
                          IF(J_V="SI",Datos!I11,Datos!I11+Datos!Y11)-IF(Monitorios="SI",Datos!CA11,0),
                          " - ")</f>
        <v xml:space="preserve"> - </v>
      </c>
      <c r="E11" s="229" t="str">
        <f>IF(ISNUMBER(IF(J_V="SI",Datos!J11,Datos!J11+Datos!Z11)-IF(Monitorios="SI",Datos!CB11,0)),
                          IF(J_V="SI",Datos!J11,Datos!J11+Datos!Z11)-IF(Monitorios="SI",Datos!CB11,0),
                          " - ")</f>
        <v xml:space="preserve"> - </v>
      </c>
      <c r="F11" s="229" t="str">
        <f>IF(ISNUMBER(IF(J_V="SI",Datos!K11,Datos!K11+Datos!AA11)-IF(Monitorios="SI",Datos!CC11,0)),
                          IF(J_V="SI",Datos!K11,Datos!K11+Datos!AA11)-IF(Monitorios="SI",Datos!CC11,0),
                          " - ")</f>
        <v xml:space="preserve"> - </v>
      </c>
      <c r="G11" s="1037" t="str">
        <f>IF(Datos!E11&lt;&gt;"",Datos!E11,Datos!D11)</f>
        <v>02</v>
      </c>
      <c r="H11" s="230" t="str">
        <f>IF(ISNUMBER(IF(J_V="SI",Datos!L11,Datos!L11+Datos!AB11)-IF(Monitorios="SI",Datos!CD11,0)),
                          IF(J_V="SI",Datos!L11,Datos!L11+Datos!AB11)-IF(Monitorios="SI",Datos!CD11,0),
                          " - ")</f>
        <v xml:space="preserve"> - </v>
      </c>
      <c r="I11" s="1047" t="str">
        <f>IF(ISNUMBER(Datos!AS11/Datos!BM11),Datos!AS11/Datos!BM11," - ")</f>
        <v xml:space="preserve"> - </v>
      </c>
      <c r="J11" s="1048">
        <f>IF(ISNUMBER(Datos!BY11/Datos!CN11),Datos!BY11/Datos!CN11," - ")</f>
        <v>0</v>
      </c>
      <c r="K11" s="233" t="str">
        <f t="shared" si="1"/>
        <v xml:space="preserve"> - </v>
      </c>
      <c r="L11" s="1028" t="str">
        <f>IF(ISNUMBER(NºAsuntos!I11/NºAsuntos!G11),(NºAsuntos!I11/NºAsuntos!G11)*11," - ")</f>
        <v xml:space="preserve"> - </v>
      </c>
      <c r="M11" s="231" t="str">
        <f>IF(ISNUMBER(Datos!CL11),Datos!CL11," - ")</f>
        <v xml:space="preserve"> - </v>
      </c>
      <c r="N11" s="483">
        <f>Datos!CU11</f>
        <v>0</v>
      </c>
      <c r="O11" s="1038">
        <f>Datos!CT11</f>
        <v>0</v>
      </c>
      <c r="P11" s="1049" t="str">
        <f>IF(ISNUMBER((Datos!AS11/Datos!AQ11)),(Datos!AS11/Datos!AQ11)," - ")</f>
        <v xml:space="preserve"> - </v>
      </c>
      <c r="Q11" s="248">
        <f>IF(ISNUMBER(Datos!CQ11+Datos!CR11),Datos!CQ11+Datos!CR11," - ")</f>
        <v>0</v>
      </c>
      <c r="R11" s="246" t="str">
        <f>IF(ISNUMBER((P11/Datos!CO11)*factor_trimestre),(P11/Datos!CO11)*factor_trimestre," - ")</f>
        <v xml:space="preserve"> - </v>
      </c>
      <c r="S11" s="354">
        <f>IF(ISNUMBER((Q11/Datos!CP11)*factor_trimestre),(Q11/Datos!CP11)*factor_trimestre," - ")</f>
        <v>0</v>
      </c>
      <c r="T11" s="482">
        <f>Datos!ET11</f>
        <v>0</v>
      </c>
      <c r="U11" s="1153"/>
      <c r="V11" s="1157" t="str">
        <f>IF(U11="",IF(ISNUMBER(IF(ISNUMBER(S11),S11,0)/((Datos!EU11-Datos!ET11)/Datos!EU11)),IF(ISNUMBER(S11),S11,0)/((Datos!EU11-Datos!ET11)/Datos!EU11)," - "),IF(ISNUMBER(IF(ISNUMBER(S11),S11,0)/((Datos!EU11-U11)/Datos!EU11)),IF(ISNUMBER(S11),S11,0)/((Datos!EU11-U11)/Datos!EU11)))</f>
        <v xml:space="preserve"> - </v>
      </c>
      <c r="W11" s="482" t="str">
        <f>IF(ISNUMBER(Datos!CV11),Datos!CV11," - ")</f>
        <v xml:space="preserve"> - </v>
      </c>
      <c r="X11" s="482" t="str">
        <f>IF(ISNUMBER(Datos!DH11),Datos!DH11," - ")</f>
        <v xml:space="preserve"> - </v>
      </c>
      <c r="Y11" s="482" t="str">
        <f>IF(ISNUMBER(Datos!DI11),Datos!DI11," - ")</f>
        <v xml:space="preserve"> - </v>
      </c>
      <c r="Z11" s="338" t="str">
        <f>IF(ISNUMBER(Datos!DJ11),Datos!DJ11," - ")</f>
        <v xml:space="preserve"> - </v>
      </c>
      <c r="AA11" s="487" t="str">
        <f>IF(ISNUMBER(Datos!DG11),Datos!DG11," - ")</f>
        <v xml:space="preserve"> - </v>
      </c>
      <c r="AB11" s="337" t="str">
        <f>IF(ISNUMBER(Datos!CY11),Datos!CY11," - ")</f>
        <v xml:space="preserve"> - </v>
      </c>
      <c r="AC11" s="337" t="str">
        <f>IF(ISNUMBER(Datos!CZ11),Datos!CZ11," - ")</f>
        <v xml:space="preserve"> - </v>
      </c>
      <c r="AD11" s="337" t="str">
        <f>IF(ISNUMBER(Datos!DA11),Datos!DA11," - ")</f>
        <v xml:space="preserve"> - </v>
      </c>
      <c r="AE11" s="1149">
        <v>0</v>
      </c>
    </row>
    <row r="12" spans="1:31" ht="15">
      <c r="A12" s="1046">
        <f>ABS(Datos!AO12)</f>
        <v>2</v>
      </c>
      <c r="B12" s="505" t="str">
        <f>Datos!A12</f>
        <v xml:space="preserve">Jdos. 1ª Instª. e Instr.                        </v>
      </c>
      <c r="C12" s="228" t="str">
        <f t="shared" si="0"/>
        <v xml:space="preserve"> - </v>
      </c>
      <c r="D12" s="228" t="str">
        <f>IF(ISNUMBER(IF(J_V="SI",Datos!I12,Datos!I12+Datos!Y12)-IF(Monitorios="SI",Datos!CA12,0)),
                          IF(J_V="SI",Datos!I12,Datos!I12+Datos!Y12)-IF(Monitorios="SI",Datos!CA12,0),
                          " - ")</f>
        <v xml:space="preserve"> - </v>
      </c>
      <c r="E12" s="229" t="str">
        <f>IF(ISNUMBER(IF(J_V="SI",Datos!J12,Datos!J12+Datos!Z12)-IF(Monitorios="SI",Datos!CB12,0)),
                          IF(J_V="SI",Datos!J12,Datos!J12+Datos!Z12)-IF(Monitorios="SI",Datos!CB12,0),
                          " - ")</f>
        <v xml:space="preserve"> - </v>
      </c>
      <c r="F12" s="229" t="str">
        <f>IF(ISNUMBER(IF(J_V="SI",Datos!K12,Datos!K12+Datos!AA12)-IF(Monitorios="SI",Datos!CC12,0)),
                          IF(J_V="SI",Datos!K12,Datos!K12+Datos!AA12)-IF(Monitorios="SI",Datos!CC12,0),
                          " - ")</f>
        <v xml:space="preserve"> - </v>
      </c>
      <c r="G12" s="1037" t="str">
        <f>IF(Datos!E12&lt;&gt;"",Datos!E12,Datos!D12)</f>
        <v>04</v>
      </c>
      <c r="H12" s="230" t="str">
        <f>IF(ISNUMBER(IF(J_V="SI",Datos!L12,Datos!L12+Datos!AB12)-IF(Monitorios="SI",Datos!CD12,0)),
                          IF(J_V="SI",Datos!L12,Datos!L12+Datos!AB12)-IF(Monitorios="SI",Datos!CD12,0),
                          " - ")</f>
        <v xml:space="preserve"> - </v>
      </c>
      <c r="I12" s="1047" t="str">
        <f>IF(ISNUMBER(Datos!AS12/Datos!BM12),Datos!AS12/Datos!BM12," - ")</f>
        <v xml:space="preserve"> - </v>
      </c>
      <c r="J12" s="1048">
        <f>IF(ISNUMBER(Datos!BY12/Datos!CN12),Datos!BY12/Datos!CN12," - ")</f>
        <v>0</v>
      </c>
      <c r="K12" s="233" t="str">
        <f t="shared" si="1"/>
        <v xml:space="preserve"> - </v>
      </c>
      <c r="L12" s="1028">
        <f>IF(ISNUMBER(NºAsuntos!I12/NºAsuntos!G12),(NºAsuntos!I12/NºAsuntos!G12)*11," - ")</f>
        <v>8.8148148148148149</v>
      </c>
      <c r="M12" s="231" t="str">
        <f>IF(ISNUMBER(Datos!CL12),Datos!CL12," - ")</f>
        <v xml:space="preserve"> - </v>
      </c>
      <c r="N12" s="483">
        <f>Datos!CU12</f>
        <v>0</v>
      </c>
      <c r="O12" s="1038">
        <f>Datos!CT12</f>
        <v>0</v>
      </c>
      <c r="P12" s="1049" t="str">
        <f>IF(ISNUMBER((Datos!AS12/Datos!AQ12)),(Datos!AS12/Datos!AQ12)," - ")</f>
        <v xml:space="preserve"> - </v>
      </c>
      <c r="Q12" s="248" t="str">
        <f>IF(ISNUMBER(Datos!CQ12),Datos!CQ12," - ")</f>
        <v xml:space="preserve"> - </v>
      </c>
      <c r="R12" s="246" t="str">
        <f>IF(ISNUMBER((P12/Datos!CO12)*factor_trimestre),(P12/Datos!CO12)*factor_trimestre," - ")</f>
        <v xml:space="preserve"> - </v>
      </c>
      <c r="S12" s="354" t="str">
        <f>IF(ISNUMBER((Q12/Datos!CP12)*factor_trimestre),(Q12/Datos!CP12)*factor_trimestre," - ")</f>
        <v xml:space="preserve"> - </v>
      </c>
      <c r="T12" s="482">
        <f>Datos!ET12</f>
        <v>0</v>
      </c>
      <c r="U12" s="1153"/>
      <c r="V12" s="1157" t="str">
        <f>IF(U12="",IF(ISNUMBER(IF(ISNUMBER(S12),S12,0)/((Datos!EU12-Datos!ET12)/Datos!EU12)),IF(ISNUMBER(S12),S12,0)/((Datos!EU12-Datos!ET12)/Datos!EU12)," - "),IF(ISNUMBER(IF(ISNUMBER(S12),S12,0)/((Datos!EU12-U12)/Datos!EU12)),IF(ISNUMBER(S12),S12,0)/((Datos!EU12-U12)/Datos!EU12)))</f>
        <v xml:space="preserve"> - </v>
      </c>
      <c r="W12" s="482" t="str">
        <f>IF(ISNUMBER(Datos!CV12),Datos!CV12," - ")</f>
        <v xml:space="preserve"> - </v>
      </c>
      <c r="X12" s="482" t="str">
        <f>IF(ISNUMBER(Datos!DH12),Datos!DH12," - ")</f>
        <v xml:space="preserve"> - </v>
      </c>
      <c r="Y12" s="482" t="str">
        <f>IF(ISNUMBER(Datos!DI12),Datos!DI12," - ")</f>
        <v xml:space="preserve"> - </v>
      </c>
      <c r="Z12" s="338" t="str">
        <f>IF(ISNUMBER(Datos!DJ12),Datos!DJ12," - ")</f>
        <v xml:space="preserve"> - </v>
      </c>
      <c r="AA12" s="487" t="str">
        <f>IF(ISNUMBER(Datos!DG12),Datos!DG12," - ")</f>
        <v xml:space="preserve"> - </v>
      </c>
      <c r="AB12" s="337" t="str">
        <f>IF(ISNUMBER(Datos!CY12),Datos!CY12," - ")</f>
        <v xml:space="preserve"> - </v>
      </c>
      <c r="AC12" s="337" t="str">
        <f>IF(ISNUMBER(Datos!CZ12),Datos!CZ12," - ")</f>
        <v xml:space="preserve"> - </v>
      </c>
      <c r="AD12" s="337" t="str">
        <f>IF(ISNUMBER(Datos!DA12),Datos!DA12," - ")</f>
        <v xml:space="preserve"> - </v>
      </c>
      <c r="AE12" s="1149">
        <v>0</v>
      </c>
    </row>
    <row r="13" spans="1:31" ht="15">
      <c r="A13" s="1051"/>
      <c r="B13" s="1100" t="str">
        <f>Datos!A13</f>
        <v>TOTAL</v>
      </c>
      <c r="C13" s="1052">
        <f>SUBTOTAL(9,C9:C12)</f>
        <v>9</v>
      </c>
      <c r="D13" s="1052">
        <f>SUBTOTAL(9,D9:D12)</f>
        <v>9</v>
      </c>
      <c r="E13" s="1053">
        <f>SUBTOTAL(9,E9:E12)</f>
        <v>7</v>
      </c>
      <c r="F13" s="1054">
        <f>SUBTOTAL(9,F9:F12)</f>
        <v>8</v>
      </c>
      <c r="G13" s="1055" t="str">
        <f ca="1">INDIRECT(CONCATENATE("G",ROW()-1))</f>
        <v>04</v>
      </c>
      <c r="H13" s="1056">
        <f ca="1">SUMIF(G$8:G12,G13,H$8:H12)</f>
        <v>0</v>
      </c>
      <c r="I13" s="1057"/>
      <c r="J13" s="1058"/>
      <c r="K13" s="1059"/>
      <c r="L13" s="1060"/>
      <c r="M13" s="1056">
        <f ca="1">SUMIF(G$8:G12,G13,M$8:M12)</f>
        <v>0</v>
      </c>
      <c r="N13" s="1060"/>
      <c r="O13" s="1056"/>
      <c r="P13" s="1061">
        <f ca="1">SUMIF(G$8:G12,G13,P$8:P12)</f>
        <v>0</v>
      </c>
      <c r="Q13" s="1062">
        <f ca="1">SUMIF(G$8:G12,G13,Q$8:Q12)</f>
        <v>0</v>
      </c>
      <c r="R13" s="1061">
        <f ca="1">SUMIF(G$8:G12,G13,R$8:R12)</f>
        <v>0</v>
      </c>
      <c r="S13" s="1063">
        <f ca="1">SUMIF(G$8:G12,G13,S$8:S12)</f>
        <v>0</v>
      </c>
      <c r="T13" s="1055"/>
      <c r="U13" s="1154"/>
      <c r="V13" s="1152">
        <f ca="1">SUMIF(G$8:G12,G13,V$8:V12)</f>
        <v>0</v>
      </c>
      <c r="W13" s="1064">
        <f ca="1">SUMIF($G$8:$G12,$G13,W$8:W12)</f>
        <v>0</v>
      </c>
      <c r="X13" s="1064">
        <f ca="1">SUMIF($G$8:$G12,$G13,X$8:X12)</f>
        <v>0</v>
      </c>
      <c r="Y13" s="1064">
        <f ca="1">SUMIF($G$8:$G12,$G13,Y$8:Y12)</f>
        <v>0</v>
      </c>
      <c r="Z13" s="1055">
        <f ca="1">SUMIF($G$8:$G12,$G13,Z$8:Z12)</f>
        <v>0</v>
      </c>
      <c r="AA13" s="1065">
        <f ca="1">SUMIF($G$8:$G12,$G13,AA$8:AA12)</f>
        <v>0</v>
      </c>
      <c r="AB13" s="1064">
        <f ca="1">SUMIF($G$8:$G12,$G13,AB$8:AB12)</f>
        <v>0</v>
      </c>
      <c r="AC13" s="1064">
        <f ca="1">SUMIF($G$8:$G12,$G13,AC$8:AC12)</f>
        <v>0</v>
      </c>
      <c r="AD13" s="1066">
        <f ca="1">SUMIF($G$8:$G12,$G13,AD$8:AD12)</f>
        <v>0</v>
      </c>
      <c r="AE13" s="1149"/>
    </row>
    <row r="14" spans="1:31" ht="15">
      <c r="A14" s="1341" t="str">
        <f>Datos!A14</f>
        <v xml:space="preserve">Jurisdicción Penal ( 2 ):                      </v>
      </c>
      <c r="B14" s="1342"/>
      <c r="C14" s="336"/>
      <c r="D14" s="336"/>
      <c r="E14" s="1067"/>
      <c r="F14" s="1067"/>
      <c r="G14" s="1067"/>
      <c r="H14" s="231"/>
      <c r="I14" s="336"/>
      <c r="J14" s="231"/>
      <c r="K14" s="233"/>
      <c r="L14" s="233"/>
      <c r="M14" s="231"/>
      <c r="N14" s="233"/>
      <c r="O14" s="1068"/>
      <c r="P14" s="1069"/>
      <c r="Q14" s="1070"/>
      <c r="R14" s="1071"/>
      <c r="S14" s="1068"/>
      <c r="T14" s="1037"/>
      <c r="U14" s="1155"/>
      <c r="V14" s="1149"/>
      <c r="W14" s="1072"/>
      <c r="X14" s="1043"/>
      <c r="Y14" s="1043"/>
      <c r="Z14" s="1044"/>
      <c r="AA14" s="567"/>
      <c r="AB14" s="567"/>
      <c r="AC14" s="567"/>
      <c r="AD14" s="1050"/>
      <c r="AE14" s="1149"/>
    </row>
    <row r="15" spans="1:31" ht="15">
      <c r="A15" s="1046">
        <f>ABS(Datos!AO15)</f>
        <v>0</v>
      </c>
      <c r="B15" s="505" t="str">
        <f>Datos!A15</f>
        <v xml:space="preserve">Jdos. Instrucción                               </v>
      </c>
      <c r="C15" s="228" t="str">
        <f t="shared" ref="C15:C17" si="2">IF(ISNUMBER(H15-E15+F15),H15-E15+F15," - ")</f>
        <v xml:space="preserve"> - </v>
      </c>
      <c r="D15" s="228" t="str">
        <f>IF(ISNUMBER(IF(D_I="SI",Datos!I15,Datos!I15+Datos!AC15)),IF(D_I="SI",Datos!I15,Datos!I15+Datos!AC15)," - ")</f>
        <v xml:space="preserve"> - </v>
      </c>
      <c r="E15" s="229" t="str">
        <f>IF(ISNUMBER(IF(D_I="SI",Datos!J15,Datos!J15+Datos!AD15)),IF(D_I="SI",Datos!J15,Datos!J15+Datos!AD15)," - ")</f>
        <v xml:space="preserve"> - </v>
      </c>
      <c r="F15" s="229" t="str">
        <f>IF(ISNUMBER(IF(D_I="SI",Datos!K15,Datos!K15+Datos!AE15)),IF(D_I="SI",Datos!K15,Datos!K15+Datos!AE15)," - ")</f>
        <v xml:space="preserve"> - </v>
      </c>
      <c r="G15" s="1037" t="str">
        <f>IF(Datos!E15&lt;&gt;"",Datos!E15,Datos!D15)</f>
        <v>03</v>
      </c>
      <c r="H15" s="230" t="str">
        <f>IF(ISNUMBER(IF(D_I="SI",Datos!L15,Datos!L15+Datos!AF15)),IF(D_I="SI",Datos!L15,Datos!L15+Datos!AF15)," - ")</f>
        <v xml:space="preserve"> - </v>
      </c>
      <c r="I15" s="1047" t="str">
        <f>IF(ISNUMBER(Datos!AS15/Datos!BM15),Datos!AS15/Datos!BM15," - ")</f>
        <v xml:space="preserve"> - </v>
      </c>
      <c r="J15" s="1048">
        <f>IF(ISNUMBER(Datos!BY15/Datos!CN15),Datos!BY15/Datos!CN15," - ")</f>
        <v>0</v>
      </c>
      <c r="K15" s="233" t="str">
        <f t="shared" ref="K15:K17" si="3">IF(ISNUMBER((E15-F15)/C15),(E15-F15)/C15," - ")</f>
        <v xml:space="preserve"> - </v>
      </c>
      <c r="L15" s="1028" t="str">
        <f>IF(ISNUMBER(NºAsuntos!I15/NºAsuntos!G15),(NºAsuntos!I15/NºAsuntos!G15)*11," - ")</f>
        <v xml:space="preserve"> - </v>
      </c>
      <c r="M15" s="231" t="str">
        <f>IF(ISNUMBER(Datos!CL15),Datos!CL15," - ")</f>
        <v xml:space="preserve"> - </v>
      </c>
      <c r="N15" s="483">
        <f>Datos!CU15</f>
        <v>0</v>
      </c>
      <c r="O15" s="1038">
        <f>Datos!CT15</f>
        <v>0</v>
      </c>
      <c r="P15" s="1049" t="str">
        <f>IF(ISNUMBER((Datos!AS15/Datos!AQ15)),(Datos!AS15/Datos!AQ15)," - ")</f>
        <v xml:space="preserve"> - </v>
      </c>
      <c r="Q15" s="248">
        <f>IF(ISNUMBER(Datos!CQ15+Datos!CR15),Datos!CQ15+Datos!CR15*1.16," - ")</f>
        <v>0</v>
      </c>
      <c r="R15" s="246" t="str">
        <f>IF(ISNUMBER((P15/Datos!CO15)*factor_trimestre),(P15/Datos!CO15)*factor_trimestre," - ")</f>
        <v xml:space="preserve"> - </v>
      </c>
      <c r="S15" s="354">
        <f>IF(ISNUMBER((Q15/Datos!CP15)*factor_trimestre),(Q15/Datos!CP15)*factor_trimestre," - ")</f>
        <v>0</v>
      </c>
      <c r="T15" s="482">
        <f>Datos!ET15</f>
        <v>0</v>
      </c>
      <c r="U15" s="1153"/>
      <c r="V15" s="1157" t="str">
        <f>IF(U15="",IF(ISNUMBER(IF(ISNUMBER(S15),S15,0)/((Datos!EU15-Datos!ET15)/Datos!EU15)),IF(ISNUMBER(S15),S15,0)/((Datos!EU15-Datos!ET15)/Datos!EU15)," - "),IF(ISNUMBER(IF(ISNUMBER(S15),S15,0)/((Datos!EU15-U15)/Datos!EU15)),IF(ISNUMBER(S15),S15,0)/((Datos!EU15-U15)/Datos!EU15)))</f>
        <v xml:space="preserve"> - </v>
      </c>
      <c r="W15" s="482" t="str">
        <f>IF(ISNUMBER(Datos!CV15),Datos!CV15," - ")</f>
        <v xml:space="preserve"> - </v>
      </c>
      <c r="X15" s="482" t="str">
        <f>IF(ISNUMBER(Datos!DH15),Datos!DH15," - ")</f>
        <v xml:space="preserve"> - </v>
      </c>
      <c r="Y15" s="482" t="str">
        <f>IF(ISNUMBER(Datos!DI15),Datos!DI15," - ")</f>
        <v xml:space="preserve"> - </v>
      </c>
      <c r="Z15" s="338" t="str">
        <f>IF(ISNUMBER(Datos!DJ15),Datos!DJ15," - ")</f>
        <v xml:space="preserve"> - </v>
      </c>
      <c r="AA15" s="487" t="str">
        <f>IF(ISNUMBER(Datos!DG15),Datos!DG15," - ")</f>
        <v xml:space="preserve"> - </v>
      </c>
      <c r="AB15" s="337" t="str">
        <f>IF(ISNUMBER(Datos!CY15),Datos!CY15," - ")</f>
        <v xml:space="preserve"> - </v>
      </c>
      <c r="AC15" s="337" t="str">
        <f>IF(ISNUMBER(Datos!CZ15),Datos!CZ15," - ")</f>
        <v xml:space="preserve"> - </v>
      </c>
      <c r="AD15" s="337" t="str">
        <f>IF(ISNUMBER(Datos!DA15),Datos!DA15," - ")</f>
        <v xml:space="preserve"> - </v>
      </c>
      <c r="AE15" s="1149">
        <v>0</v>
      </c>
    </row>
    <row r="16" spans="1:31" ht="15">
      <c r="A16" s="1046">
        <f>ABS(Datos!AO16)</f>
        <v>2</v>
      </c>
      <c r="B16" s="505" t="str">
        <f>Datos!A16</f>
        <v xml:space="preserve">Jdos. 1ª Instª. e Instr.                        </v>
      </c>
      <c r="C16" s="228">
        <f t="shared" si="2"/>
        <v>206</v>
      </c>
      <c r="D16" s="228">
        <f>IF(ISNUMBER(IF(D_I="SI",Datos!I16,Datos!I16+Datos!AC16)),IF(D_I="SI",Datos!I16,Datos!I16+Datos!AC16)," - ")</f>
        <v>201</v>
      </c>
      <c r="E16" s="229">
        <f>IF(ISNUMBER(IF(D_I="SI",Datos!J16,Datos!J16+Datos!AD16)),IF(D_I="SI",Datos!J16,Datos!J16+Datos!AD16)," - ")</f>
        <v>939</v>
      </c>
      <c r="F16" s="229">
        <f>IF(ISNUMBER(IF(D_I="SI",Datos!K16,Datos!K16+Datos!AE16)),IF(D_I="SI",Datos!K16,Datos!K16+Datos!AE16)," - ")</f>
        <v>882</v>
      </c>
      <c r="G16" s="1037" t="str">
        <f>IF(Datos!E16&lt;&gt;"",Datos!E16,Datos!D16)</f>
        <v>04</v>
      </c>
      <c r="H16" s="230">
        <f>IF(ISNUMBER(IF(D_I="SI",Datos!L16,Datos!L16+Datos!AF16)),IF(D_I="SI",Datos!L16,Datos!L16+Datos!AF16)," - ")</f>
        <v>263</v>
      </c>
      <c r="I16" s="1047" t="str">
        <f>IF(ISNUMBER(Datos!AS16/Datos!BM16),Datos!AS16/Datos!BM16," - ")</f>
        <v xml:space="preserve"> - </v>
      </c>
      <c r="J16" s="1048">
        <f>IF(ISNUMBER(Datos!BY16/Datos!CN16),Datos!BY16/Datos!CN16," - ")</f>
        <v>0</v>
      </c>
      <c r="K16" s="233">
        <f t="shared" si="3"/>
        <v>0.27669902912621358</v>
      </c>
      <c r="L16" s="1028">
        <f>IF(ISNUMBER(NºAsuntos!I16/NºAsuntos!G16),(NºAsuntos!I16/NºAsuntos!G16)*11," - ")</f>
        <v>3.2800453514739227</v>
      </c>
      <c r="M16" s="231" t="str">
        <f>IF(ISNUMBER(Datos!CL16),Datos!CL16," - ")</f>
        <v xml:space="preserve"> - </v>
      </c>
      <c r="N16" s="483">
        <f>Datos!CU16</f>
        <v>0</v>
      </c>
      <c r="O16" s="1038">
        <f>Datos!CT16</f>
        <v>0</v>
      </c>
      <c r="P16" s="1049" t="str">
        <f>IF(ISNUMBER((Datos!AS16/Datos!AQ16)),(Datos!AS16/Datos!AQ16)," - ")</f>
        <v xml:space="preserve"> - </v>
      </c>
      <c r="Q16" s="248" t="str">
        <f>IF(ISNUMBER(Datos!CQ16),Datos!CQ16," - ")</f>
        <v xml:space="preserve"> - </v>
      </c>
      <c r="R16" s="246" t="str">
        <f>IF(ISNUMBER((P16/Datos!CO16)*factor_trimestre),(P16/Datos!CO16)*factor_trimestre," - ")</f>
        <v xml:space="preserve"> - </v>
      </c>
      <c r="S16" s="354" t="str">
        <f>IF(ISNUMBER((Q16/Datos!CP16)*factor_trimestre),(Q16/Datos!CP16)*factor_trimestre," - ")</f>
        <v xml:space="preserve"> - </v>
      </c>
      <c r="T16" s="482">
        <f>Datos!ET16</f>
        <v>0</v>
      </c>
      <c r="U16" s="1153"/>
      <c r="V16" s="1157" t="str">
        <f>IF(U16="",IF(ISNUMBER(IF(ISNUMBER(S16),S16,0)/((Datos!EU16-Datos!ET16)/Datos!EU16)),IF(ISNUMBER(S16),S16,0)/((Datos!EU16-Datos!ET16)/Datos!EU16)," - "),IF(ISNUMBER(IF(ISNUMBER(S16),S16,0)/((Datos!EU16-U16)/Datos!EU16)),IF(ISNUMBER(S16),S16,0)/((Datos!EU16-U16)/Datos!EU16)))</f>
        <v xml:space="preserve"> - </v>
      </c>
      <c r="W16" s="482" t="str">
        <f>IF(ISNUMBER(Datos!CV16),Datos!CV16," - ")</f>
        <v xml:space="preserve"> - </v>
      </c>
      <c r="X16" s="482" t="str">
        <f>IF(ISNUMBER(Datos!DH16),Datos!DH16," - ")</f>
        <v xml:space="preserve"> - </v>
      </c>
      <c r="Y16" s="482" t="str">
        <f>IF(ISNUMBER(Datos!DI16),Datos!DI16," - ")</f>
        <v xml:space="preserve"> - </v>
      </c>
      <c r="Z16" s="338" t="str">
        <f>IF(ISNUMBER(Datos!DJ16),Datos!DJ16," - ")</f>
        <v xml:space="preserve"> - </v>
      </c>
      <c r="AA16" s="487" t="str">
        <f>IF(ISNUMBER(Datos!DG16),Datos!DG16," - ")</f>
        <v xml:space="preserve"> - </v>
      </c>
      <c r="AB16" s="337" t="str">
        <f>IF(ISNUMBER(Datos!CY16),Datos!CY16," - ")</f>
        <v xml:space="preserve"> - </v>
      </c>
      <c r="AC16" s="337" t="str">
        <f>IF(ISNUMBER(Datos!CZ16),Datos!CZ16," - ")</f>
        <v xml:space="preserve"> - </v>
      </c>
      <c r="AD16" s="337" t="str">
        <f>IF(ISNUMBER(Datos!DA16),Datos!DA16," - ")</f>
        <v xml:space="preserve"> - </v>
      </c>
      <c r="AE16" s="1149">
        <v>0</v>
      </c>
    </row>
    <row r="17" spans="1:31" ht="15">
      <c r="A17" s="1046">
        <f>ABS(Datos!AO17)</f>
        <v>1</v>
      </c>
      <c r="B17" s="505" t="str">
        <f>Datos!A17</f>
        <v>Jdos. Violencia contra la mujer</v>
      </c>
      <c r="C17" s="228">
        <f t="shared" si="2"/>
        <v>10</v>
      </c>
      <c r="D17" s="228">
        <f>IF(ISNUMBER(IF(D_I="SI",Datos!I17,Datos!I17+Datos!AC17)),IF(D_I="SI",Datos!I17,Datos!I17+Datos!AC17)," - ")</f>
        <v>10</v>
      </c>
      <c r="E17" s="229">
        <f>IF(ISNUMBER(IF(D_I="SI",Datos!J17,Datos!J17+Datos!AD17)),IF(D_I="SI",Datos!J17,Datos!J17+Datos!AD17)," - ")</f>
        <v>108</v>
      </c>
      <c r="F17" s="229">
        <f>IF(ISNUMBER(IF(D_I="SI",Datos!K17,Datos!K17+Datos!AE17)),IF(D_I="SI",Datos!K17,Datos!K17+Datos!AE17)," - ")</f>
        <v>104</v>
      </c>
      <c r="G17" s="1037" t="str">
        <f>IF(Datos!E17&lt;&gt;"",Datos!E17,Datos!D17)</f>
        <v>37</v>
      </c>
      <c r="H17" s="230">
        <f>IF(ISNUMBER(IF(D_I="SI",Datos!L17,Datos!L17+Datos!AF17)),IF(D_I="SI",Datos!L17,Datos!L17+Datos!AF17)," - ")</f>
        <v>14</v>
      </c>
      <c r="I17" s="1047" t="str">
        <f>IF(ISNUMBER(Datos!AS17/Datos!BM17),Datos!AS17/Datos!BM17," - ")</f>
        <v xml:space="preserve"> - </v>
      </c>
      <c r="J17" s="1048" t="str">
        <f>IF(ISNUMBER((Datos!BY17+Datos!BZ17)/Datos!CN17),(Datos!BY17+Datos!BZ17)/Datos!CN17," - ")</f>
        <v xml:space="preserve"> - </v>
      </c>
      <c r="K17" s="233">
        <f t="shared" si="3"/>
        <v>0.4</v>
      </c>
      <c r="L17" s="1028">
        <f>IF(ISNUMBER(NºAsuntos!I17/NºAsuntos!G17),(NºAsuntos!I17/NºAsuntos!G17)*11," - ")</f>
        <v>1.4807692307692306</v>
      </c>
      <c r="M17" s="231" t="str">
        <f>IF(ISNUMBER(Datos!CL17),Datos!CL17," - ")</f>
        <v xml:space="preserve"> - </v>
      </c>
      <c r="N17" s="483">
        <f>Datos!CU17</f>
        <v>0</v>
      </c>
      <c r="O17" s="1038">
        <f>Datos!CT17</f>
        <v>0</v>
      </c>
      <c r="P17" s="1049" t="str">
        <f>IF(ISNUMBER((Datos!AS17/Datos!AQ17)),(Datos!AS17/Datos!AQ17)," - ")</f>
        <v xml:space="preserve"> - </v>
      </c>
      <c r="Q17" s="248" t="str">
        <f>IF(ISNUMBER(Datos!CQ17),Datos!CQ17," - ")</f>
        <v xml:space="preserve"> - </v>
      </c>
      <c r="R17" s="246" t="str">
        <f>IF(ISNUMBER((P17/Datos!CO17)*factor_trimestre),(P17/Datos!CO17)*factor_trimestre," - ")</f>
        <v xml:space="preserve"> - </v>
      </c>
      <c r="S17" s="354" t="str">
        <f>IF(ISNUMBER((Q17/Datos!CP17)*factor_trimestre),(Q17/Datos!CP17)*factor_trimestre," - ")</f>
        <v xml:space="preserve"> - </v>
      </c>
      <c r="T17" s="482">
        <f>Datos!ET17</f>
        <v>0</v>
      </c>
      <c r="U17" s="1153"/>
      <c r="V17" s="1157" t="str">
        <f>IF(U17="",IF(ISNUMBER(IF(ISNUMBER(S17),S17,0)/((Datos!EU17-Datos!ET17)/Datos!EU17)),IF(ISNUMBER(S17),S17,0)/((Datos!EU17-Datos!ET17)/Datos!EU17)," - "),IF(ISNUMBER(IF(ISNUMBER(S17),S17,0)/((Datos!EU17-U17)/Datos!EU17)),IF(ISNUMBER(S17),S17,0)/((Datos!EU17-U17)/Datos!EU17)))</f>
        <v xml:space="preserve"> - </v>
      </c>
      <c r="W17" s="482" t="str">
        <f>IF(ISNUMBER(Datos!CV17),Datos!CV17," - ")</f>
        <v xml:space="preserve"> - </v>
      </c>
      <c r="X17" s="482" t="str">
        <f>IF(ISNUMBER(Datos!DH17),Datos!DH17," - ")</f>
        <v xml:space="preserve"> - </v>
      </c>
      <c r="Y17" s="482" t="str">
        <f>IF(ISNUMBER(Datos!DI17),Datos!DI17," - ")</f>
        <v xml:space="preserve"> - </v>
      </c>
      <c r="Z17" s="338" t="str">
        <f>IF(ISNUMBER(Datos!DJ17),Datos!DJ17," - ")</f>
        <v xml:space="preserve"> - </v>
      </c>
      <c r="AA17" s="487" t="str">
        <f>IF(ISNUMBER(Datos!DG17),Datos!DG17," - ")</f>
        <v xml:space="preserve"> - </v>
      </c>
      <c r="AB17" s="337" t="str">
        <f>IF(ISNUMBER(Datos!CY17),Datos!CY17," - ")</f>
        <v xml:space="preserve"> - </v>
      </c>
      <c r="AC17" s="337" t="str">
        <f>IF(ISNUMBER(Datos!CZ17),Datos!CZ17," - ")</f>
        <v xml:space="preserve"> - </v>
      </c>
      <c r="AD17" s="337" t="str">
        <f>IF(ISNUMBER(Datos!DA17),Datos!DA17," - ")</f>
        <v xml:space="preserve"> - </v>
      </c>
      <c r="AE17" s="1149">
        <v>0</v>
      </c>
    </row>
    <row r="18" spans="1:31" ht="15.75" thickBot="1">
      <c r="A18" s="1051"/>
      <c r="B18" s="1100" t="str">
        <f>Datos!A18</f>
        <v>TOTAL</v>
      </c>
      <c r="C18" s="1052">
        <f>SUBTOTAL(9,C15:C17)</f>
        <v>216</v>
      </c>
      <c r="D18" s="1052">
        <f>SUBTOTAL(9,D15:D17)</f>
        <v>211</v>
      </c>
      <c r="E18" s="1053">
        <f>SUBTOTAL(9,E15:E17)</f>
        <v>1047</v>
      </c>
      <c r="F18" s="1053">
        <f>SUBTOTAL(9,F15:F17)</f>
        <v>986</v>
      </c>
      <c r="G18" s="1055" t="str">
        <f ca="1">INDIRECT(CONCATENATE("G",ROW()-1))</f>
        <v>37</v>
      </c>
      <c r="H18" s="1056">
        <f ca="1">SUMIF(G$14:G17,G18,H$14:H17)</f>
        <v>14</v>
      </c>
      <c r="I18" s="1057"/>
      <c r="J18" s="1058"/>
      <c r="K18" s="1059"/>
      <c r="L18" s="1060"/>
      <c r="M18" s="1056">
        <f ca="1">SUMIF(G$14:G17,G18,M$14:M17)</f>
        <v>0</v>
      </c>
      <c r="N18" s="1060"/>
      <c r="O18" s="1056"/>
      <c r="P18" s="1061">
        <f ca="1">SUMIF(G$14:G17,G18,P$14:P17)</f>
        <v>0</v>
      </c>
      <c r="Q18" s="1062">
        <f ca="1">SUMIF(G$14:G17,G18,Q$14:Q17)</f>
        <v>0</v>
      </c>
      <c r="R18" s="1061">
        <f ca="1">SUMIF(G$14:G17,G18,R$14:R17)</f>
        <v>0</v>
      </c>
      <c r="S18" s="1063">
        <f ca="1">SUMIF(G$14:G17,G18,S$14:S17)</f>
        <v>0</v>
      </c>
      <c r="T18" s="1055"/>
      <c r="U18" s="1154"/>
      <c r="V18" s="1152">
        <f ca="1">SUMIF(G$14:G17,G18,V$14:V17)</f>
        <v>0</v>
      </c>
      <c r="W18" s="1064">
        <f ca="1">SUMIF($G$14:$G17,$G18,W$14:W17)</f>
        <v>0</v>
      </c>
      <c r="X18" s="1064">
        <f ca="1">SUMIF($G$14:$G17,$G18,X$14:X17)</f>
        <v>0</v>
      </c>
      <c r="Y18" s="1064">
        <f ca="1">SUMIF($G$14:$G17,$G18,Y$14:Y17)</f>
        <v>0</v>
      </c>
      <c r="Z18" s="1055">
        <f ca="1">SUMIF($G$14:$G17,$G18,Z$14:Z17)</f>
        <v>0</v>
      </c>
      <c r="AA18" s="1065">
        <f ca="1">SUMIF($G$14:$G17,$G18,AA$14:AA17)</f>
        <v>0</v>
      </c>
      <c r="AB18" s="1064">
        <f ca="1">SUMIF($G$14:$G17,$G18,AB$14:AB17)</f>
        <v>0</v>
      </c>
      <c r="AC18" s="1064">
        <f ca="1">SUMIF($G$14:$G17,$G18,AC$14:AC17)</f>
        <v>0</v>
      </c>
      <c r="AD18" s="1064">
        <f ca="1">SUMIF($G$14:$G17,$G18,AD$14:AD17)</f>
        <v>0</v>
      </c>
      <c r="AE18" s="1149"/>
    </row>
    <row r="19" spans="1:31" ht="18.75" customHeight="1" thickTop="1" thickBot="1">
      <c r="A19" s="1073"/>
      <c r="B19" s="1101" t="str">
        <f>Datos!A19</f>
        <v>TOTAL JURISDICCIONES</v>
      </c>
      <c r="C19" s="1074">
        <f>SUBTOTAL(9,C9:C18)</f>
        <v>225</v>
      </c>
      <c r="D19" s="1074">
        <f>SUBTOTAL(9,D9:D18)</f>
        <v>220</v>
      </c>
      <c r="E19" s="1075">
        <f>SUBTOTAL(9,E9:E18)</f>
        <v>1054</v>
      </c>
      <c r="F19" s="1075">
        <f>SUBTOTAL(9,F9:F18)</f>
        <v>994</v>
      </c>
      <c r="G19" s="1076"/>
      <c r="H19" s="1077">
        <f ca="1">SUMIF(B9:B18,"TOTAL",H9:H18)</f>
        <v>14</v>
      </c>
      <c r="I19" s="1078"/>
      <c r="J19" s="1079"/>
      <c r="K19" s="1080"/>
      <c r="L19" s="1081"/>
      <c r="M19" s="1082">
        <f ca="1">SUMIF(B9:B18,"TOTAL",M9:M18)</f>
        <v>0</v>
      </c>
      <c r="N19" s="1081"/>
      <c r="O19" s="1082"/>
      <c r="P19" s="1082"/>
      <c r="Q19" s="1082"/>
      <c r="R19" s="1083">
        <f ca="1">SUMIF(B9:B18,"TOTAL",R9:R18)</f>
        <v>0</v>
      </c>
      <c r="S19" s="1084">
        <f ca="1">SUMIF(B9:B18,"TOTAL",S9:S18)</f>
        <v>0</v>
      </c>
      <c r="T19" s="1086"/>
      <c r="U19" s="1156"/>
      <c r="V19" s="1084">
        <f ca="1">SUMIF(B9:B18,"TOTAL",V9:V18)</f>
        <v>0</v>
      </c>
      <c r="W19" s="1085">
        <f t="shared" ref="W19:AD19" ca="1" si="4">SUMIF($B9:$B18,"TOTAL",W9:W18)</f>
        <v>0</v>
      </c>
      <c r="X19" s="1085">
        <f t="shared" ca="1" si="4"/>
        <v>0</v>
      </c>
      <c r="Y19" s="1085">
        <f t="shared" ca="1" si="4"/>
        <v>0</v>
      </c>
      <c r="Z19" s="1086">
        <f t="shared" ca="1" si="4"/>
        <v>0</v>
      </c>
      <c r="AA19" s="1085">
        <f t="shared" ca="1" si="4"/>
        <v>0</v>
      </c>
      <c r="AB19" s="1085">
        <f t="shared" ca="1" si="4"/>
        <v>0</v>
      </c>
      <c r="AC19" s="1085">
        <f t="shared" ca="1" si="4"/>
        <v>0</v>
      </c>
      <c r="AD19" s="1087">
        <f t="shared" ca="1" si="4"/>
        <v>0</v>
      </c>
    </row>
    <row r="20" spans="1:31" ht="12" customHeight="1" thickTop="1">
      <c r="B20" s="73"/>
    </row>
    <row r="21" spans="1:31" ht="12.75" customHeight="1">
      <c r="B21" s="1102"/>
      <c r="C21" s="1032"/>
      <c r="D21" s="1032"/>
      <c r="E21" s="1033"/>
      <c r="F21" s="1032"/>
      <c r="G21" s="1032"/>
      <c r="H21" s="1032"/>
      <c r="I21" s="1032"/>
      <c r="J21" s="1032"/>
      <c r="K21" s="1033"/>
      <c r="L21" s="1033"/>
      <c r="M21" s="1033"/>
      <c r="N21" s="1033"/>
      <c r="O21" s="1033"/>
      <c r="P21" s="1033"/>
      <c r="Q21" s="1033"/>
    </row>
    <row r="22" spans="1:31" ht="12.75" customHeight="1">
      <c r="B22" s="474" t="str">
        <f>Criterios!A4</f>
        <v>Fecha Informe: 03 may. 2024</v>
      </c>
      <c r="C22" s="1032"/>
      <c r="D22" s="1032"/>
      <c r="E22" s="1033"/>
      <c r="F22" s="1032"/>
      <c r="G22" s="1032"/>
      <c r="H22" s="1032"/>
      <c r="I22" s="1032"/>
      <c r="J22" s="1032"/>
      <c r="K22" s="1033"/>
      <c r="L22" s="1033"/>
      <c r="M22" s="1033"/>
      <c r="N22" s="1033"/>
      <c r="O22" s="1033"/>
      <c r="P22" s="1033"/>
      <c r="Q22" s="1033"/>
    </row>
    <row r="23" spans="1:31" ht="12.75" customHeight="1">
      <c r="B23" s="1102"/>
      <c r="C23" s="1032"/>
      <c r="D23" s="1032"/>
      <c r="E23" s="1032"/>
      <c r="F23" s="1032"/>
      <c r="G23" s="1032"/>
      <c r="H23" s="1032"/>
      <c r="I23" s="1032"/>
      <c r="J23" s="1032"/>
      <c r="K23" s="1032"/>
      <c r="L23" s="1032"/>
      <c r="M23" s="1032"/>
      <c r="N23" s="1032"/>
      <c r="O23" s="1032"/>
      <c r="P23" s="1032"/>
      <c r="Q23" s="1032"/>
    </row>
    <row r="24" spans="1:31" ht="12.75" customHeight="1">
      <c r="B24" s="1102"/>
      <c r="C24" s="1032"/>
      <c r="D24" s="1032"/>
      <c r="E24" s="1032"/>
      <c r="F24" s="1032"/>
      <c r="G24" s="1032"/>
      <c r="H24" s="1032"/>
      <c r="I24" s="1032"/>
      <c r="J24" s="1032"/>
      <c r="K24" s="1032"/>
      <c r="L24" s="1032"/>
      <c r="M24" s="1032"/>
      <c r="N24" s="1032"/>
      <c r="O24" s="1032"/>
      <c r="P24" s="1032"/>
      <c r="Q24" s="1032"/>
    </row>
    <row r="25" spans="1:31">
      <c r="B25" s="530"/>
      <c r="N25" s="1318" t="s">
        <v>635</v>
      </c>
      <c r="O25" s="1318"/>
      <c r="P25" s="1318"/>
      <c r="Q25" s="1318"/>
      <c r="R25" s="1318"/>
      <c r="S25" s="1318"/>
      <c r="T25" s="1318"/>
      <c r="U25" s="1318"/>
      <c r="V25" s="1318"/>
      <c r="W25" s="1318"/>
      <c r="Y25" s="1318" t="s">
        <v>636</v>
      </c>
      <c r="Z25" s="1318"/>
      <c r="AA25" s="1318"/>
      <c r="AB25" s="1318"/>
      <c r="AC25" s="1318"/>
      <c r="AD25" s="1318"/>
    </row>
    <row r="27" spans="1:31">
      <c r="N27" s="1034" t="s">
        <v>637</v>
      </c>
      <c r="O27" s="1314" t="s">
        <v>638</v>
      </c>
      <c r="P27" s="1314"/>
      <c r="Q27" s="1314"/>
      <c r="R27" s="1314"/>
      <c r="S27" s="1314"/>
      <c r="T27" s="1314"/>
      <c r="U27" s="1314"/>
      <c r="V27" s="1314"/>
      <c r="W27" s="1314"/>
      <c r="Y27" s="1034" t="s">
        <v>637</v>
      </c>
      <c r="Z27" s="1316" t="s">
        <v>639</v>
      </c>
      <c r="AA27" s="1316"/>
      <c r="AB27" s="1316"/>
      <c r="AC27" s="1316"/>
      <c r="AD27" s="1316"/>
    </row>
    <row r="28" spans="1:31">
      <c r="N28" s="1034" t="s">
        <v>640</v>
      </c>
      <c r="O28" s="1314" t="s">
        <v>641</v>
      </c>
      <c r="P28" s="1314"/>
      <c r="Q28" s="1314"/>
      <c r="R28" s="1314"/>
      <c r="S28" s="1314"/>
      <c r="T28" s="1314"/>
      <c r="U28" s="1314"/>
      <c r="V28" s="1314"/>
      <c r="W28" s="1314"/>
      <c r="Y28" s="1034" t="s">
        <v>640</v>
      </c>
      <c r="Z28" s="1316" t="s">
        <v>642</v>
      </c>
      <c r="AA28" s="1316"/>
      <c r="AB28" s="1316"/>
      <c r="AC28" s="1316"/>
      <c r="AD28" s="1316"/>
    </row>
    <row r="29" spans="1:31">
      <c r="N29" s="1034" t="s">
        <v>643</v>
      </c>
      <c r="O29" s="1314" t="s">
        <v>644</v>
      </c>
      <c r="P29" s="1314"/>
      <c r="Q29" s="1314"/>
      <c r="R29" s="1314"/>
      <c r="S29" s="1314"/>
      <c r="T29" s="1314"/>
      <c r="U29" s="1314"/>
      <c r="V29" s="1314"/>
      <c r="W29" s="1314"/>
      <c r="Y29" s="1034" t="s">
        <v>645</v>
      </c>
      <c r="Z29" s="1316" t="s">
        <v>888</v>
      </c>
      <c r="AA29" s="1316"/>
      <c r="AB29" s="1316"/>
      <c r="AC29" s="1316"/>
      <c r="AD29" s="1316"/>
    </row>
    <row r="30" spans="1:31">
      <c r="N30" s="1034" t="s">
        <v>646</v>
      </c>
      <c r="O30" s="1314" t="s">
        <v>647</v>
      </c>
      <c r="P30" s="1314"/>
      <c r="Q30" s="1314"/>
      <c r="R30" s="1314"/>
      <c r="S30" s="1314"/>
      <c r="T30" s="1314"/>
      <c r="U30" s="1314"/>
      <c r="V30" s="1314"/>
      <c r="W30" s="1314"/>
      <c r="Y30" s="1034" t="s">
        <v>648</v>
      </c>
      <c r="Z30" s="1316" t="s">
        <v>889</v>
      </c>
      <c r="AA30" s="1316"/>
      <c r="AB30" s="1316"/>
      <c r="AC30" s="1316"/>
      <c r="AD30" s="1316"/>
    </row>
    <row r="31" spans="1:31">
      <c r="N31" s="1034" t="s">
        <v>731</v>
      </c>
      <c r="O31" s="1314" t="s">
        <v>732</v>
      </c>
      <c r="P31" s="1314"/>
      <c r="Q31" s="1314"/>
      <c r="R31" s="1314"/>
      <c r="S31" s="1314"/>
      <c r="T31" s="1314"/>
      <c r="U31" s="1314"/>
      <c r="V31" s="1314"/>
      <c r="W31" s="1314"/>
      <c r="Y31" s="1034" t="s">
        <v>643</v>
      </c>
      <c r="Z31" s="1316" t="s">
        <v>644</v>
      </c>
      <c r="AA31" s="1316"/>
      <c r="AB31" s="1316"/>
      <c r="AC31" s="1316"/>
      <c r="AD31" s="1316"/>
    </row>
    <row r="32" spans="1:31">
      <c r="N32" s="1034" t="s">
        <v>649</v>
      </c>
      <c r="O32" s="1314" t="s">
        <v>650</v>
      </c>
      <c r="P32" s="1314"/>
      <c r="Q32" s="1314"/>
      <c r="R32" s="1314"/>
      <c r="S32" s="1314"/>
      <c r="T32" s="1314"/>
      <c r="U32" s="1314"/>
      <c r="V32" s="1314"/>
      <c r="W32" s="1314"/>
      <c r="Y32" s="1034" t="s">
        <v>646</v>
      </c>
      <c r="Z32" s="1316" t="s">
        <v>647</v>
      </c>
      <c r="AA32" s="1316"/>
      <c r="AB32" s="1316"/>
      <c r="AC32" s="1316"/>
      <c r="AD32" s="1316"/>
    </row>
    <row r="33" spans="14:30">
      <c r="N33" s="1034" t="s">
        <v>651</v>
      </c>
      <c r="O33" s="1314" t="s">
        <v>652</v>
      </c>
      <c r="P33" s="1314"/>
      <c r="Q33" s="1314"/>
      <c r="R33" s="1314"/>
      <c r="S33" s="1314"/>
      <c r="T33" s="1314"/>
      <c r="U33" s="1314"/>
      <c r="V33" s="1314"/>
      <c r="W33" s="1314"/>
      <c r="Y33" s="1034" t="s">
        <v>653</v>
      </c>
      <c r="Z33" s="1316" t="s">
        <v>654</v>
      </c>
      <c r="AA33" s="1316"/>
      <c r="AB33" s="1316"/>
      <c r="AC33" s="1316"/>
      <c r="AD33" s="1316"/>
    </row>
    <row r="34" spans="14:30">
      <c r="N34" s="1034" t="s">
        <v>645</v>
      </c>
      <c r="O34" s="1314" t="s">
        <v>886</v>
      </c>
      <c r="P34" s="1314"/>
      <c r="Q34" s="1314"/>
      <c r="R34" s="1314"/>
      <c r="S34" s="1314"/>
      <c r="T34" s="1314"/>
      <c r="U34" s="1314"/>
      <c r="V34" s="1314"/>
      <c r="W34" s="1314"/>
      <c r="Y34" s="1034" t="s">
        <v>655</v>
      </c>
      <c r="Z34" s="1316" t="s">
        <v>656</v>
      </c>
      <c r="AA34" s="1316"/>
      <c r="AB34" s="1316"/>
      <c r="AC34" s="1316"/>
      <c r="AD34" s="1316"/>
    </row>
    <row r="35" spans="14:30">
      <c r="N35" s="1034" t="s">
        <v>648</v>
      </c>
      <c r="O35" s="1314" t="s">
        <v>887</v>
      </c>
      <c r="P35" s="1314"/>
      <c r="Q35" s="1314"/>
      <c r="R35" s="1314"/>
      <c r="S35" s="1314"/>
      <c r="T35" s="1314"/>
      <c r="U35" s="1314"/>
      <c r="V35" s="1314"/>
      <c r="W35" s="1314"/>
      <c r="Y35" s="1034" t="s">
        <v>658</v>
      </c>
      <c r="Z35" s="1316" t="s">
        <v>659</v>
      </c>
      <c r="AA35" s="1316"/>
      <c r="AB35" s="1316"/>
      <c r="AC35" s="1316"/>
      <c r="AD35" s="1316"/>
    </row>
    <row r="36" spans="14:30">
      <c r="N36" s="1034" t="s">
        <v>653</v>
      </c>
      <c r="O36" s="1314" t="s">
        <v>657</v>
      </c>
      <c r="P36" s="1314"/>
      <c r="Q36" s="1314"/>
      <c r="R36" s="1314"/>
      <c r="S36" s="1314"/>
      <c r="T36" s="1314"/>
      <c r="U36" s="1314"/>
      <c r="V36" s="1314"/>
      <c r="W36" s="1314"/>
      <c r="Y36" s="1034" t="s">
        <v>649</v>
      </c>
      <c r="Z36" s="1316" t="s">
        <v>650</v>
      </c>
      <c r="AA36" s="1316"/>
      <c r="AB36" s="1316"/>
      <c r="AC36" s="1316"/>
      <c r="AD36" s="1316"/>
    </row>
    <row r="37" spans="14:30">
      <c r="N37" s="1034" t="s">
        <v>660</v>
      </c>
      <c r="O37" s="1314" t="s">
        <v>661</v>
      </c>
      <c r="P37" s="1314"/>
      <c r="Q37" s="1314"/>
      <c r="R37" s="1314"/>
      <c r="S37" s="1314"/>
      <c r="T37" s="1314"/>
      <c r="U37" s="1314"/>
      <c r="V37" s="1314"/>
      <c r="W37" s="1314"/>
      <c r="Y37" s="1035" t="s">
        <v>651</v>
      </c>
      <c r="Z37" s="1317" t="s">
        <v>652</v>
      </c>
      <c r="AA37" s="1317"/>
      <c r="AB37" s="1317"/>
      <c r="AC37" s="1317"/>
      <c r="AD37" s="1317"/>
    </row>
    <row r="38" spans="14:30">
      <c r="N38" s="1034" t="s">
        <v>655</v>
      </c>
      <c r="O38" s="1314" t="s">
        <v>662</v>
      </c>
      <c r="P38" s="1314"/>
      <c r="Q38" s="1314"/>
      <c r="R38" s="1314"/>
      <c r="S38" s="1314"/>
      <c r="T38" s="1314"/>
      <c r="U38" s="1314"/>
      <c r="V38" s="1314"/>
      <c r="W38" s="1314"/>
    </row>
    <row r="39" spans="14:30">
      <c r="N39" s="1035" t="s">
        <v>658</v>
      </c>
      <c r="O39" s="1315" t="s">
        <v>663</v>
      </c>
      <c r="P39" s="1315"/>
      <c r="Q39" s="1315"/>
      <c r="R39" s="1315"/>
      <c r="S39" s="1315"/>
      <c r="T39" s="1315"/>
      <c r="U39" s="1315"/>
      <c r="V39" s="1315"/>
      <c r="W39" s="1315"/>
    </row>
  </sheetData>
  <sheetProtection algorithmName="SHA-512" hashValue="pT71LBhcSgwipQE1lOvduiPfgKI4LuV7P/HDVEI+HKwtzVhoQWkHk2YRHCUK5Tl6ng/5gsHUu0p+sSP/IL9FaA==" saltValue="ksVC4nfC/ZBoaug3YevWSA=="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20" t="s">
        <v>419</v>
      </c>
    </row>
    <row r="9" spans="2:2">
      <c r="B9" s="470"/>
    </row>
    <row r="10" spans="2:2">
      <c r="B10" s="467"/>
    </row>
    <row r="11" spans="2:2" ht="25.5">
      <c r="B11" s="1159" t="s">
        <v>420</v>
      </c>
    </row>
    <row r="12" spans="2:2">
      <c r="B12" s="1160"/>
    </row>
    <row r="13" spans="2:2" ht="76.5">
      <c r="B13" s="1160" t="s">
        <v>421</v>
      </c>
    </row>
    <row r="14" spans="2:2">
      <c r="B14" s="1160"/>
    </row>
    <row r="15" spans="2:2" ht="51">
      <c r="B15" s="1160" t="s">
        <v>422</v>
      </c>
    </row>
    <row r="16" spans="2:2">
      <c r="B16" s="1160"/>
    </row>
    <row r="17" spans="2:2" ht="51">
      <c r="B17" s="1161" t="s">
        <v>423</v>
      </c>
    </row>
  </sheetData>
  <sheetProtection algorithmName="SHA-512" hashValue="pwBnaxcCgfzv8Aoj0NRNbMjsGcpIFZ4Zkh4LdFeQFkrnG6jbi9X1JADj3o/lCJzXBUwq5rLr631DDBjSt1zCgg==" saltValue="rtkgDVOI6+IOwI1AEd+Ys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AI15" sqref="AI1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85" t="s">
        <v>273</v>
      </c>
      <c r="CF4" s="1386"/>
      <c r="CG4" s="1386"/>
      <c r="CH4" s="1387"/>
    </row>
    <row r="5" spans="1:155" ht="12.75" customHeight="1" thickBot="1">
      <c r="A5" s="1415" t="str">
        <f>"Año:  " &amp;Criterios!B5 &amp; "                  Trimestre   " &amp;Criterios!D5 &amp; " al " &amp;Criterios!D6</f>
        <v>Año:  2023                  Trimestre   1 al 4</v>
      </c>
      <c r="B5" s="1417" t="s">
        <v>399</v>
      </c>
      <c r="C5" s="1420" t="s">
        <v>33</v>
      </c>
      <c r="D5" s="1426" t="s">
        <v>24</v>
      </c>
      <c r="E5" s="1427"/>
      <c r="F5" s="1427"/>
      <c r="G5" s="1427"/>
      <c r="H5" s="1428"/>
      <c r="I5" s="1432" t="s">
        <v>52</v>
      </c>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c r="AL5" s="1433"/>
      <c r="AM5" s="1433"/>
      <c r="AN5" s="1433"/>
      <c r="AO5" s="1391" t="s">
        <v>131</v>
      </c>
      <c r="AP5" s="1391" t="s">
        <v>132</v>
      </c>
      <c r="AQ5" s="1391" t="s">
        <v>89</v>
      </c>
      <c r="AR5" s="1391" t="s">
        <v>133</v>
      </c>
      <c r="AS5" s="1403" t="s">
        <v>154</v>
      </c>
      <c r="AT5" s="1403" t="s">
        <v>155</v>
      </c>
      <c r="AU5" s="1403" t="s">
        <v>238</v>
      </c>
      <c r="AV5" s="1403" t="s">
        <v>236</v>
      </c>
      <c r="AW5" s="1403" t="s">
        <v>239</v>
      </c>
      <c r="AX5" s="1403" t="s">
        <v>237</v>
      </c>
      <c r="AY5" s="1397" t="s">
        <v>108</v>
      </c>
      <c r="AZ5" s="1451"/>
      <c r="BA5" s="1451"/>
      <c r="BB5" s="1451"/>
      <c r="BC5" s="1452"/>
      <c r="BD5" s="1397" t="s">
        <v>109</v>
      </c>
      <c r="BE5" s="1398"/>
      <c r="BF5" s="1398"/>
      <c r="BG5" s="1399"/>
      <c r="BH5" s="1391" t="s">
        <v>147</v>
      </c>
      <c r="BI5" s="1391" t="s">
        <v>148</v>
      </c>
      <c r="BJ5" s="1448" t="s">
        <v>211</v>
      </c>
      <c r="BK5" s="1408" t="s">
        <v>214</v>
      </c>
      <c r="BL5" s="1408" t="s">
        <v>221</v>
      </c>
      <c r="BM5" s="1445" t="s">
        <v>317</v>
      </c>
      <c r="BN5" s="1238"/>
      <c r="BO5" s="1239"/>
      <c r="BP5" s="1238"/>
      <c r="BQ5" s="1239"/>
      <c r="BR5" s="1238"/>
      <c r="BS5" s="1239"/>
      <c r="BT5" s="1238"/>
      <c r="BU5" s="1239"/>
      <c r="BV5" s="1405" t="s">
        <v>272</v>
      </c>
      <c r="BW5" s="1411" t="s">
        <v>252</v>
      </c>
      <c r="BX5" s="1411" t="s">
        <v>253</v>
      </c>
      <c r="BY5" s="1394" t="s">
        <v>259</v>
      </c>
      <c r="BZ5" s="1394" t="s">
        <v>349</v>
      </c>
      <c r="CA5" s="1414" t="s">
        <v>288</v>
      </c>
      <c r="CB5" s="1414" t="s">
        <v>279</v>
      </c>
      <c r="CC5" s="1414" t="s">
        <v>280</v>
      </c>
      <c r="CD5" s="1414" t="s">
        <v>281</v>
      </c>
      <c r="CE5" s="1388" t="s">
        <v>292</v>
      </c>
      <c r="CF5" s="1388" t="s">
        <v>271</v>
      </c>
      <c r="CG5" s="1388" t="s">
        <v>269</v>
      </c>
      <c r="CH5" s="1388" t="s">
        <v>270</v>
      </c>
      <c r="CI5" s="1462" t="s">
        <v>294</v>
      </c>
      <c r="CJ5" s="1462" t="s">
        <v>295</v>
      </c>
      <c r="CK5" s="1375" t="s">
        <v>425</v>
      </c>
      <c r="CL5" s="1375" t="s">
        <v>426</v>
      </c>
      <c r="CM5" s="1375" t="s">
        <v>443</v>
      </c>
      <c r="CN5" s="1456" t="s">
        <v>370</v>
      </c>
      <c r="CO5" s="1456" t="s">
        <v>363</v>
      </c>
      <c r="CP5" s="1456" t="s">
        <v>369</v>
      </c>
      <c r="CQ5" s="1471" t="s">
        <v>368</v>
      </c>
      <c r="CR5" s="1471" t="s">
        <v>368</v>
      </c>
      <c r="CS5" s="1388" t="s">
        <v>388</v>
      </c>
      <c r="CT5" s="1388" t="s">
        <v>391</v>
      </c>
      <c r="CU5" s="1388" t="s">
        <v>229</v>
      </c>
      <c r="CV5" s="1388" t="s">
        <v>313</v>
      </c>
      <c r="CW5" s="1388" t="s">
        <v>333</v>
      </c>
      <c r="CX5" s="1388" t="s">
        <v>340</v>
      </c>
      <c r="CY5" s="1388" t="s">
        <v>436</v>
      </c>
      <c r="CZ5" s="1388" t="s">
        <v>437</v>
      </c>
      <c r="DA5" s="1388" t="s">
        <v>438</v>
      </c>
      <c r="DB5" s="1363" t="s">
        <v>195</v>
      </c>
      <c r="DC5" s="1363" t="s">
        <v>196</v>
      </c>
      <c r="DD5" s="1363" t="s">
        <v>197</v>
      </c>
      <c r="DE5" s="1379" t="s">
        <v>168</v>
      </c>
      <c r="DF5" s="1379" t="s">
        <v>407</v>
      </c>
      <c r="DG5" s="1388" t="s">
        <v>444</v>
      </c>
      <c r="DH5" s="1375" t="s">
        <v>425</v>
      </c>
      <c r="DI5" s="1375" t="s">
        <v>426</v>
      </c>
      <c r="DJ5" s="1375" t="s">
        <v>442</v>
      </c>
      <c r="DK5" s="1375" t="s">
        <v>476</v>
      </c>
      <c r="DL5" s="1375" t="s">
        <v>480</v>
      </c>
      <c r="DM5" s="1378" t="s">
        <v>530</v>
      </c>
      <c r="DN5" s="1378" t="s">
        <v>531</v>
      </c>
      <c r="DO5" s="1378" t="s">
        <v>532</v>
      </c>
      <c r="DP5" s="1378" t="s">
        <v>533</v>
      </c>
      <c r="DQ5" s="1378" t="s">
        <v>534</v>
      </c>
      <c r="DR5" s="1378" t="s">
        <v>535</v>
      </c>
      <c r="DS5" s="1378" t="s">
        <v>536</v>
      </c>
      <c r="DT5" s="1378" t="s">
        <v>537</v>
      </c>
      <c r="DU5" s="1357" t="s">
        <v>538</v>
      </c>
      <c r="DV5" s="1357" t="s">
        <v>539</v>
      </c>
      <c r="DW5" s="1354" t="s">
        <v>540</v>
      </c>
      <c r="DX5" s="1378" t="s">
        <v>541</v>
      </c>
      <c r="DY5" s="1351" t="s">
        <v>542</v>
      </c>
      <c r="DZ5" s="1354" t="s">
        <v>543</v>
      </c>
      <c r="EA5" s="1351" t="s">
        <v>544</v>
      </c>
      <c r="EB5" s="1382" t="s">
        <v>588</v>
      </c>
      <c r="EC5" s="1382" t="s">
        <v>589</v>
      </c>
      <c r="ED5" s="1382" t="s">
        <v>590</v>
      </c>
      <c r="EE5" s="1382" t="s">
        <v>623</v>
      </c>
      <c r="EF5" s="1382" t="s">
        <v>627</v>
      </c>
      <c r="EG5" s="1351" t="s">
        <v>625</v>
      </c>
      <c r="EH5" s="1351" t="s">
        <v>626</v>
      </c>
      <c r="EI5" s="1351" t="s">
        <v>592</v>
      </c>
      <c r="EJ5" s="1351" t="s">
        <v>593</v>
      </c>
      <c r="EK5" s="1366" t="s">
        <v>670</v>
      </c>
      <c r="EL5" s="1369" t="s">
        <v>686</v>
      </c>
      <c r="EM5" s="1370"/>
      <c r="EN5" s="1371"/>
      <c r="EO5" s="1363" t="s">
        <v>744</v>
      </c>
      <c r="EP5" s="1363" t="s">
        <v>746</v>
      </c>
      <c r="EQ5" s="1363" t="s">
        <v>747</v>
      </c>
      <c r="ER5" s="1363" t="s">
        <v>752</v>
      </c>
      <c r="ES5" s="1363" t="s">
        <v>757</v>
      </c>
      <c r="ET5" s="1360" t="s">
        <v>821</v>
      </c>
      <c r="EU5" s="1360" t="s">
        <v>822</v>
      </c>
      <c r="EV5" s="1468" t="s">
        <v>838</v>
      </c>
      <c r="EW5" s="1468" t="s">
        <v>843</v>
      </c>
      <c r="EX5" s="1465" t="s">
        <v>860</v>
      </c>
      <c r="EY5" s="1459" t="s">
        <v>865</v>
      </c>
    </row>
    <row r="6" spans="1:155" ht="24.75" customHeight="1" thickBot="1">
      <c r="A6" s="1416"/>
      <c r="B6" s="1418"/>
      <c r="C6" s="1421"/>
      <c r="D6" s="1429"/>
      <c r="E6" s="1430"/>
      <c r="F6" s="1430"/>
      <c r="G6" s="1430"/>
      <c r="H6" s="1431"/>
      <c r="I6" s="1434" t="s">
        <v>5</v>
      </c>
      <c r="J6" s="1435"/>
      <c r="K6" s="1435"/>
      <c r="L6" s="1435"/>
      <c r="M6" s="1435"/>
      <c r="N6" s="1435"/>
      <c r="O6" s="1436"/>
      <c r="P6" s="1423" t="s">
        <v>15</v>
      </c>
      <c r="Q6" s="1424"/>
      <c r="R6" s="1425"/>
      <c r="S6" s="1434" t="s">
        <v>107</v>
      </c>
      <c r="T6" s="1435"/>
      <c r="U6" s="1435"/>
      <c r="V6" s="1435"/>
      <c r="W6" s="1437"/>
      <c r="X6" s="1438"/>
      <c r="Y6" s="1439" t="s">
        <v>30</v>
      </c>
      <c r="Z6" s="1440"/>
      <c r="AA6" s="1440"/>
      <c r="AB6" s="1441"/>
      <c r="AC6" s="1439" t="s">
        <v>31</v>
      </c>
      <c r="AD6" s="1440"/>
      <c r="AE6" s="1440"/>
      <c r="AF6" s="1444"/>
      <c r="AG6" s="1423" t="s">
        <v>53</v>
      </c>
      <c r="AH6" s="1424"/>
      <c r="AI6" s="1424"/>
      <c r="AJ6" s="1425"/>
      <c r="AK6" s="1442" t="s">
        <v>54</v>
      </c>
      <c r="AL6" s="1424"/>
      <c r="AM6" s="1424"/>
      <c r="AN6" s="1443"/>
      <c r="AO6" s="1392"/>
      <c r="AP6" s="1392"/>
      <c r="AQ6" s="1392"/>
      <c r="AR6" s="1392"/>
      <c r="AS6" s="1364"/>
      <c r="AT6" s="1364"/>
      <c r="AU6" s="1364"/>
      <c r="AV6" s="1364"/>
      <c r="AW6" s="1364"/>
      <c r="AX6" s="1364"/>
      <c r="AY6" s="1453"/>
      <c r="AZ6" s="1454"/>
      <c r="BA6" s="1454"/>
      <c r="BB6" s="1454"/>
      <c r="BC6" s="1455"/>
      <c r="BD6" s="1400"/>
      <c r="BE6" s="1401"/>
      <c r="BF6" s="1401"/>
      <c r="BG6" s="1402"/>
      <c r="BH6" s="1392"/>
      <c r="BI6" s="1392"/>
      <c r="BJ6" s="1449"/>
      <c r="BK6" s="1409"/>
      <c r="BL6" s="1409"/>
      <c r="BM6" s="1446"/>
      <c r="BN6" s="1236"/>
      <c r="BO6" s="1236"/>
      <c r="BP6" s="1236"/>
      <c r="BQ6" s="1236"/>
      <c r="BR6" s="1236"/>
      <c r="BS6" s="1236"/>
      <c r="BT6" s="1236"/>
      <c r="BU6" s="1236"/>
      <c r="BV6" s="1406"/>
      <c r="BW6" s="1412"/>
      <c r="BX6" s="1412"/>
      <c r="BY6" s="1395"/>
      <c r="BZ6" s="1395"/>
      <c r="CA6" s="1389"/>
      <c r="CB6" s="1389"/>
      <c r="CC6" s="1389"/>
      <c r="CD6" s="1389"/>
      <c r="CE6" s="1389"/>
      <c r="CF6" s="1389"/>
      <c r="CG6" s="1389"/>
      <c r="CH6" s="1389"/>
      <c r="CI6" s="1463"/>
      <c r="CJ6" s="1463"/>
      <c r="CK6" s="1376"/>
      <c r="CL6" s="1376"/>
      <c r="CM6" s="1376"/>
      <c r="CN6" s="1457"/>
      <c r="CO6" s="1457"/>
      <c r="CP6" s="1457"/>
      <c r="CQ6" s="1472"/>
      <c r="CR6" s="1472"/>
      <c r="CS6" s="1389"/>
      <c r="CT6" s="1389"/>
      <c r="CU6" s="1389"/>
      <c r="CV6" s="1389"/>
      <c r="CW6" s="1389"/>
      <c r="CX6" s="1389"/>
      <c r="CY6" s="1389"/>
      <c r="CZ6" s="1389"/>
      <c r="DA6" s="1389"/>
      <c r="DB6" s="1364"/>
      <c r="DC6" s="1364"/>
      <c r="DD6" s="1364"/>
      <c r="DE6" s="1380"/>
      <c r="DF6" s="1380"/>
      <c r="DG6" s="1389"/>
      <c r="DH6" s="1376"/>
      <c r="DI6" s="1376"/>
      <c r="DJ6" s="1376"/>
      <c r="DK6" s="1376"/>
      <c r="DL6" s="1376"/>
      <c r="DM6" s="1285"/>
      <c r="DN6" s="1285"/>
      <c r="DO6" s="1285"/>
      <c r="DP6" s="1285"/>
      <c r="DQ6" s="1285"/>
      <c r="DR6" s="1285"/>
      <c r="DS6" s="1285"/>
      <c r="DT6" s="1285"/>
      <c r="DU6" s="1358"/>
      <c r="DV6" s="1358"/>
      <c r="DW6" s="1355"/>
      <c r="DX6" s="1285"/>
      <c r="DY6" s="1352"/>
      <c r="DZ6" s="1355"/>
      <c r="EA6" s="1352"/>
      <c r="EB6" s="1383"/>
      <c r="EC6" s="1383"/>
      <c r="ED6" s="1383"/>
      <c r="EE6" s="1383"/>
      <c r="EF6" s="1383"/>
      <c r="EG6" s="1352"/>
      <c r="EH6" s="1352"/>
      <c r="EI6" s="1352"/>
      <c r="EJ6" s="1352"/>
      <c r="EK6" s="1367"/>
      <c r="EL6" s="1372"/>
      <c r="EM6" s="1373"/>
      <c r="EN6" s="1374"/>
      <c r="EO6" s="1364"/>
      <c r="EP6" s="1364"/>
      <c r="EQ6" s="1364"/>
      <c r="ER6" s="1364"/>
      <c r="ES6" s="1364"/>
      <c r="ET6" s="1361"/>
      <c r="EU6" s="1361"/>
      <c r="EV6" s="1469"/>
      <c r="EW6" s="1469"/>
      <c r="EX6" s="1466"/>
      <c r="EY6" s="1460"/>
    </row>
    <row r="7" spans="1:155" ht="87" customHeight="1" thickBot="1">
      <c r="A7" s="69" t="s">
        <v>743</v>
      </c>
      <c r="B7" s="1419"/>
      <c r="C7" s="1422"/>
      <c r="D7" s="66" t="s">
        <v>400</v>
      </c>
      <c r="E7" s="67" t="s">
        <v>126</v>
      </c>
      <c r="F7" s="67" t="s">
        <v>125</v>
      </c>
      <c r="G7" s="121" t="s">
        <v>35</v>
      </c>
      <c r="H7" s="122" t="s">
        <v>401</v>
      </c>
      <c r="I7" s="9" t="s">
        <v>18</v>
      </c>
      <c r="J7" s="10" t="s">
        <v>13</v>
      </c>
      <c r="K7" s="10" t="s">
        <v>9</v>
      </c>
      <c r="L7" s="11" t="s">
        <v>19</v>
      </c>
      <c r="M7" s="9" t="s">
        <v>7</v>
      </c>
      <c r="N7" s="10" t="s">
        <v>8</v>
      </c>
      <c r="O7" s="162"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3"/>
      <c r="AP7" s="1393"/>
      <c r="AQ7" s="1393"/>
      <c r="AR7" s="1393"/>
      <c r="AS7" s="1365"/>
      <c r="AT7" s="1404"/>
      <c r="AU7" s="1404"/>
      <c r="AV7" s="1404"/>
      <c r="AW7" s="1404"/>
      <c r="AX7" s="1404"/>
      <c r="AY7" s="97" t="s">
        <v>18</v>
      </c>
      <c r="AZ7" s="98" t="s">
        <v>13</v>
      </c>
      <c r="BA7" s="98" t="s">
        <v>9</v>
      </c>
      <c r="BB7" s="98" t="s">
        <v>23</v>
      </c>
      <c r="BC7" s="99" t="s">
        <v>7</v>
      </c>
      <c r="BD7" s="97" t="s">
        <v>9</v>
      </c>
      <c r="BE7" s="98" t="s">
        <v>17</v>
      </c>
      <c r="BF7" s="98" t="s">
        <v>97</v>
      </c>
      <c r="BG7" s="99" t="s">
        <v>98</v>
      </c>
      <c r="BH7" s="1393"/>
      <c r="BI7" s="1393"/>
      <c r="BJ7" s="1450"/>
      <c r="BK7" s="1410"/>
      <c r="BL7" s="1410"/>
      <c r="BM7" s="1447"/>
      <c r="BN7" s="1237"/>
      <c r="BO7" s="1237"/>
      <c r="BP7" s="1237"/>
      <c r="BQ7" s="1237"/>
      <c r="BR7" s="1237"/>
      <c r="BS7" s="1237"/>
      <c r="BT7" s="1237"/>
      <c r="BU7" s="1237"/>
      <c r="BV7" s="1407"/>
      <c r="BW7" s="1413"/>
      <c r="BX7" s="1413"/>
      <c r="BY7" s="1396"/>
      <c r="BZ7" s="1396"/>
      <c r="CA7" s="1390"/>
      <c r="CB7" s="1390"/>
      <c r="CC7" s="1390"/>
      <c r="CD7" s="1390"/>
      <c r="CE7" s="1390"/>
      <c r="CF7" s="1390"/>
      <c r="CG7" s="1390"/>
      <c r="CH7" s="1390"/>
      <c r="CI7" s="1464"/>
      <c r="CJ7" s="1464"/>
      <c r="CK7" s="1377"/>
      <c r="CL7" s="1377"/>
      <c r="CM7" s="1377"/>
      <c r="CN7" s="1458"/>
      <c r="CO7" s="1458"/>
      <c r="CP7" s="1458"/>
      <c r="CQ7" s="1473"/>
      <c r="CR7" s="1473"/>
      <c r="CS7" s="1390"/>
      <c r="CT7" s="1390"/>
      <c r="CU7" s="1390"/>
      <c r="CV7" s="1390"/>
      <c r="CW7" s="1390"/>
      <c r="CX7" s="1390"/>
      <c r="CY7" s="1390"/>
      <c r="CZ7" s="1390"/>
      <c r="DA7" s="1390"/>
      <c r="DB7" s="1365"/>
      <c r="DC7" s="1365"/>
      <c r="DD7" s="1365"/>
      <c r="DE7" s="1381"/>
      <c r="DF7" s="1381"/>
      <c r="DG7" s="1390"/>
      <c r="DH7" s="1377"/>
      <c r="DI7" s="1377"/>
      <c r="DJ7" s="1377"/>
      <c r="DK7" s="1377"/>
      <c r="DL7" s="1377"/>
      <c r="DM7" s="1286"/>
      <c r="DN7" s="1286"/>
      <c r="DO7" s="1286"/>
      <c r="DP7" s="1286"/>
      <c r="DQ7" s="1286"/>
      <c r="DR7" s="1286"/>
      <c r="DS7" s="1286"/>
      <c r="DT7" s="1286"/>
      <c r="DU7" s="1359"/>
      <c r="DV7" s="1359"/>
      <c r="DW7" s="1356"/>
      <c r="DX7" s="1286"/>
      <c r="DY7" s="1353"/>
      <c r="DZ7" s="1356"/>
      <c r="EA7" s="1353"/>
      <c r="EB7" s="1384"/>
      <c r="EC7" s="1384"/>
      <c r="ED7" s="1384"/>
      <c r="EE7" s="1384"/>
      <c r="EF7" s="1384"/>
      <c r="EG7" s="1353"/>
      <c r="EH7" s="1353"/>
      <c r="EI7" s="1353"/>
      <c r="EJ7" s="1353"/>
      <c r="EK7" s="1368"/>
      <c r="EL7" s="644" t="s">
        <v>687</v>
      </c>
      <c r="EM7" s="644" t="s">
        <v>95</v>
      </c>
      <c r="EN7" s="644" t="s">
        <v>96</v>
      </c>
      <c r="EO7" s="1365"/>
      <c r="EP7" s="1365"/>
      <c r="EQ7" s="1365"/>
      <c r="ER7" s="1365"/>
      <c r="ES7" s="1365"/>
      <c r="ET7" s="1362"/>
      <c r="EU7" s="1362"/>
      <c r="EV7" s="1470"/>
      <c r="EW7" s="1470"/>
      <c r="EX7" s="1467"/>
      <c r="EY7" s="1461"/>
    </row>
    <row r="8" spans="1:155" ht="14.25" customHeight="1" thickBot="1">
      <c r="A8" s="70" t="s">
        <v>102</v>
      </c>
      <c r="B8" s="141" t="s">
        <v>402</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453</v>
      </c>
      <c r="DI8" s="50" t="s">
        <v>454</v>
      </c>
      <c r="DJ8" s="473" t="s">
        <v>455</v>
      </c>
      <c r="DK8" s="473" t="s">
        <v>477</v>
      </c>
      <c r="DL8" s="473" t="s">
        <v>478</v>
      </c>
      <c r="DM8" s="473" t="s">
        <v>545</v>
      </c>
      <c r="DN8" s="473" t="s">
        <v>546</v>
      </c>
      <c r="DO8" s="473" t="s">
        <v>547</v>
      </c>
      <c r="DP8" s="473" t="s">
        <v>548</v>
      </c>
      <c r="DQ8" s="473" t="s">
        <v>549</v>
      </c>
      <c r="DR8" s="473" t="s">
        <v>550</v>
      </c>
      <c r="DS8" s="473" t="s">
        <v>551</v>
      </c>
      <c r="DT8" s="473" t="s">
        <v>552</v>
      </c>
      <c r="DU8" s="477" t="s">
        <v>553</v>
      </c>
      <c r="DV8" s="473" t="s">
        <v>554</v>
      </c>
      <c r="DW8" s="473" t="s">
        <v>555</v>
      </c>
      <c r="DX8" s="473" t="s">
        <v>556</v>
      </c>
      <c r="DY8" s="473" t="s">
        <v>557</v>
      </c>
      <c r="DZ8" s="473" t="s">
        <v>558</v>
      </c>
      <c r="EA8" s="473" t="s">
        <v>559</v>
      </c>
      <c r="EB8" s="473" t="s">
        <v>600</v>
      </c>
      <c r="EC8" s="473" t="s">
        <v>601</v>
      </c>
      <c r="ED8" s="473" t="s">
        <v>602</v>
      </c>
      <c r="EE8" s="473" t="s">
        <v>603</v>
      </c>
      <c r="EF8" s="473" t="s">
        <v>604</v>
      </c>
      <c r="EG8" s="473" t="s">
        <v>605</v>
      </c>
      <c r="EH8" s="473" t="s">
        <v>606</v>
      </c>
      <c r="EI8" s="473" t="s">
        <v>607</v>
      </c>
      <c r="EJ8" s="473" t="s">
        <v>608</v>
      </c>
      <c r="EK8" s="473" t="s">
        <v>671</v>
      </c>
      <c r="EL8" s="645" t="s">
        <v>688</v>
      </c>
      <c r="EM8" s="645" t="s">
        <v>689</v>
      </c>
      <c r="EN8" s="645" t="s">
        <v>690</v>
      </c>
      <c r="EO8" s="50" t="s">
        <v>745</v>
      </c>
      <c r="EP8" s="50" t="s">
        <v>750</v>
      </c>
      <c r="EQ8" s="473" t="s">
        <v>751</v>
      </c>
      <c r="ER8" s="473">
        <v>148</v>
      </c>
      <c r="ES8" s="473" t="s">
        <v>758</v>
      </c>
      <c r="ET8" s="1144" t="s">
        <v>823</v>
      </c>
      <c r="EU8" s="1144" t="s">
        <v>824</v>
      </c>
      <c r="EV8" s="155" t="s">
        <v>832</v>
      </c>
      <c r="EW8" s="155">
        <v>153</v>
      </c>
      <c r="EX8" s="473" t="s">
        <v>859</v>
      </c>
      <c r="EY8" s="473" t="s">
        <v>864</v>
      </c>
    </row>
    <row r="9" spans="1:155" ht="14.25" customHeight="1">
      <c r="A9" s="20" t="s">
        <v>45</v>
      </c>
      <c r="B9" s="21" t="s">
        <v>402</v>
      </c>
      <c r="C9" s="22" t="s">
        <v>3</v>
      </c>
      <c r="D9" s="23" t="s">
        <v>20</v>
      </c>
      <c r="E9" s="21" t="s">
        <v>21</v>
      </c>
      <c r="F9" s="21">
        <v>32</v>
      </c>
      <c r="G9" s="6"/>
      <c r="H9" s="136" t="s">
        <v>245</v>
      </c>
      <c r="I9" s="183" t="s">
        <v>807</v>
      </c>
      <c r="J9" s="184" t="s">
        <v>801</v>
      </c>
      <c r="K9" s="184" t="s">
        <v>852</v>
      </c>
      <c r="L9" s="184" t="s">
        <v>812</v>
      </c>
      <c r="M9" s="184" t="s">
        <v>490</v>
      </c>
      <c r="N9" s="184" t="s">
        <v>505</v>
      </c>
      <c r="O9" s="184" t="s">
        <v>224</v>
      </c>
      <c r="P9" s="184" t="s">
        <v>39</v>
      </c>
      <c r="Q9" s="184" t="s">
        <v>40</v>
      </c>
      <c r="R9" s="184" t="s">
        <v>91</v>
      </c>
      <c r="S9" s="184"/>
      <c r="T9" s="184"/>
      <c r="U9" s="184"/>
      <c r="V9" s="184"/>
      <c r="W9" s="184"/>
      <c r="X9" s="191"/>
      <c r="Y9" s="194" t="s">
        <v>134</v>
      </c>
      <c r="Z9" s="184" t="s">
        <v>135</v>
      </c>
      <c r="AA9" s="184" t="s">
        <v>136</v>
      </c>
      <c r="AB9" s="184" t="s">
        <v>137</v>
      </c>
      <c r="AC9" s="184"/>
      <c r="AD9" s="184"/>
      <c r="AE9" s="184"/>
      <c r="AF9" s="191"/>
      <c r="AG9" s="194"/>
      <c r="AH9" s="184"/>
      <c r="AI9" s="184"/>
      <c r="AJ9" s="195"/>
      <c r="AK9" s="183"/>
      <c r="AL9" s="184"/>
      <c r="AM9" s="184"/>
      <c r="AN9" s="191"/>
      <c r="AO9" s="261">
        <v>0</v>
      </c>
      <c r="AP9" s="157">
        <v>0</v>
      </c>
      <c r="AQ9" s="157">
        <v>0</v>
      </c>
      <c r="AR9" s="196">
        <v>0</v>
      </c>
      <c r="AS9" s="341" t="s">
        <v>800</v>
      </c>
      <c r="AT9" s="198"/>
      <c r="AU9" s="197"/>
      <c r="AV9" s="198"/>
      <c r="AW9" s="197"/>
      <c r="AX9" s="198"/>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9" t="str">
        <f>IF(ISNUMBER((AY9+AZ9)/BA9),(AY9+AZ9)/BA9," - ")</f>
        <v xml:space="preserve"> - </v>
      </c>
      <c r="BH9" s="157">
        <v>0</v>
      </c>
      <c r="BI9" s="157"/>
      <c r="BJ9" s="197"/>
      <c r="BK9" s="157"/>
      <c r="BL9" s="157"/>
      <c r="BM9" s="157">
        <v>720</v>
      </c>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v>1088</v>
      </c>
      <c r="CO9" s="159">
        <v>720</v>
      </c>
      <c r="CP9" s="159">
        <v>1088</v>
      </c>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8" t="s">
        <v>875</v>
      </c>
      <c r="EP9" s="1000"/>
      <c r="EQ9" s="1000"/>
      <c r="ER9" s="1003">
        <v>1200</v>
      </c>
      <c r="ES9" s="1000"/>
      <c r="ET9" s="1145"/>
      <c r="EU9" s="1145"/>
      <c r="EV9" s="1158"/>
      <c r="EW9" s="1158"/>
      <c r="EX9" s="159"/>
      <c r="EY9" s="159"/>
    </row>
    <row r="10" spans="1:155" ht="14.25" customHeight="1">
      <c r="A10" s="20" t="s">
        <v>143</v>
      </c>
      <c r="B10" s="21" t="s">
        <v>402</v>
      </c>
      <c r="C10" s="22" t="s">
        <v>3</v>
      </c>
      <c r="D10" s="23" t="s">
        <v>82</v>
      </c>
      <c r="E10" s="21" t="s">
        <v>82</v>
      </c>
      <c r="F10" s="21" t="s">
        <v>138</v>
      </c>
      <c r="G10" s="6"/>
      <c r="H10" s="28"/>
      <c r="I10" s="183">
        <v>9</v>
      </c>
      <c r="J10" s="184">
        <v>7</v>
      </c>
      <c r="K10" s="184">
        <v>8</v>
      </c>
      <c r="L10" s="184">
        <v>8</v>
      </c>
      <c r="M10" s="184">
        <v>4</v>
      </c>
      <c r="N10" s="184">
        <v>4</v>
      </c>
      <c r="O10" s="184">
        <v>0</v>
      </c>
      <c r="P10" s="184">
        <v>4</v>
      </c>
      <c r="Q10" s="184">
        <v>0</v>
      </c>
      <c r="R10" s="184">
        <v>5</v>
      </c>
      <c r="S10" s="184">
        <v>0</v>
      </c>
      <c r="T10" s="184">
        <v>13</v>
      </c>
      <c r="U10" s="184">
        <v>4</v>
      </c>
      <c r="V10" s="184">
        <v>9</v>
      </c>
      <c r="W10" s="184">
        <v>4</v>
      </c>
      <c r="X10" s="191">
        <v>0</v>
      </c>
      <c r="Y10" s="200">
        <v>0</v>
      </c>
      <c r="Z10" s="201">
        <v>0</v>
      </c>
      <c r="AA10" s="202">
        <v>0</v>
      </c>
      <c r="AB10" s="201">
        <v>0</v>
      </c>
      <c r="AC10" s="184">
        <v>0</v>
      </c>
      <c r="AD10" s="184">
        <v>0</v>
      </c>
      <c r="AE10" s="184">
        <v>0</v>
      </c>
      <c r="AF10" s="191">
        <v>0</v>
      </c>
      <c r="AG10" s="194">
        <v>0</v>
      </c>
      <c r="AH10" s="184">
        <v>0</v>
      </c>
      <c r="AI10" s="184">
        <v>0</v>
      </c>
      <c r="AJ10" s="195">
        <v>0</v>
      </c>
      <c r="AK10" s="183">
        <v>0</v>
      </c>
      <c r="AL10" s="184">
        <v>0</v>
      </c>
      <c r="AM10" s="184">
        <v>0</v>
      </c>
      <c r="AN10" s="191">
        <v>0</v>
      </c>
      <c r="AO10" s="261">
        <v>1</v>
      </c>
      <c r="AP10" s="158">
        <v>0</v>
      </c>
      <c r="AQ10" s="157">
        <v>0</v>
      </c>
      <c r="AR10" s="158">
        <v>0</v>
      </c>
      <c r="AS10" s="342" t="s">
        <v>794</v>
      </c>
      <c r="AT10" s="195"/>
      <c r="AU10" s="203"/>
      <c r="AV10" s="195"/>
      <c r="AW10" s="203"/>
      <c r="AX10" s="195"/>
      <c r="AY10" s="128">
        <f t="shared" ref="AY10:BC10" si="0">IF(ISNUMBER(S10),S10," - ")</f>
        <v>0</v>
      </c>
      <c r="AZ10" s="129">
        <f t="shared" si="0"/>
        <v>13</v>
      </c>
      <c r="BA10" s="129">
        <f t="shared" si="0"/>
        <v>4</v>
      </c>
      <c r="BB10" s="129">
        <f t="shared" si="0"/>
        <v>9</v>
      </c>
      <c r="BC10" s="125">
        <f t="shared" si="0"/>
        <v>4</v>
      </c>
      <c r="BD10" s="126">
        <f>IF(ISNUMBER(BA10/AZ10),BA10/AZ10," - ")</f>
        <v>0.30769230769230771</v>
      </c>
      <c r="BE10" s="127">
        <f>IF(ISNUMBER(BB10/BA10),BB10/BA10, " - ")</f>
        <v>2.25</v>
      </c>
      <c r="BF10" s="127">
        <f>IF(ISNUMBER(BC10/BA10),BC10/BA10, " - ")</f>
        <v>1</v>
      </c>
      <c r="BG10" s="199">
        <f>IF(ISNUMBER((AY10+AZ10)/BA10),(AY10+AZ10)/BA10," - ")</f>
        <v>3.25</v>
      </c>
      <c r="BH10" s="158">
        <v>1</v>
      </c>
      <c r="BI10" s="158"/>
      <c r="BJ10" s="204"/>
      <c r="BK10" s="157"/>
      <c r="BL10" s="157"/>
      <c r="BM10" s="157">
        <v>0</v>
      </c>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v>1175</v>
      </c>
      <c r="CO10" s="157">
        <v>0</v>
      </c>
      <c r="CP10" s="157">
        <v>1175</v>
      </c>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t="s">
        <v>768</v>
      </c>
      <c r="EP10" s="342"/>
      <c r="EQ10" s="342"/>
      <c r="ER10" s="1004">
        <v>1600</v>
      </c>
      <c r="ES10" s="342"/>
      <c r="ET10" s="1145"/>
      <c r="EU10" s="1145"/>
      <c r="EV10" s="1158"/>
      <c r="EW10" s="1158"/>
      <c r="EX10" s="292"/>
      <c r="EY10" s="292"/>
    </row>
    <row r="11" spans="1:155" ht="14.25" customHeight="1" thickBot="1">
      <c r="A11" s="20" t="s">
        <v>403</v>
      </c>
      <c r="B11" s="21" t="s">
        <v>402</v>
      </c>
      <c r="C11" s="22" t="s">
        <v>3</v>
      </c>
      <c r="D11" s="23" t="s">
        <v>20</v>
      </c>
      <c r="E11" s="21" t="s">
        <v>51</v>
      </c>
      <c r="F11" s="21">
        <v>32</v>
      </c>
      <c r="G11" s="6"/>
      <c r="H11" s="28" t="s">
        <v>36</v>
      </c>
      <c r="I11" s="185" t="s">
        <v>807</v>
      </c>
      <c r="J11" s="186" t="s">
        <v>801</v>
      </c>
      <c r="K11" s="186" t="s">
        <v>852</v>
      </c>
      <c r="L11" s="186" t="s">
        <v>812</v>
      </c>
      <c r="M11" s="186" t="s">
        <v>490</v>
      </c>
      <c r="N11" s="186" t="s">
        <v>505</v>
      </c>
      <c r="O11" s="184" t="s">
        <v>224</v>
      </c>
      <c r="P11" s="186" t="s">
        <v>39</v>
      </c>
      <c r="Q11" s="186" t="s">
        <v>40</v>
      </c>
      <c r="R11" s="186" t="s">
        <v>91</v>
      </c>
      <c r="S11" s="186"/>
      <c r="T11" s="186"/>
      <c r="U11" s="186"/>
      <c r="V11" s="186"/>
      <c r="W11" s="186"/>
      <c r="X11" s="192"/>
      <c r="Y11" s="194" t="s">
        <v>134</v>
      </c>
      <c r="Z11" s="184" t="s">
        <v>135</v>
      </c>
      <c r="AA11" s="184" t="s">
        <v>136</v>
      </c>
      <c r="AB11" s="184" t="s">
        <v>137</v>
      </c>
      <c r="AC11" s="186"/>
      <c r="AD11" s="186"/>
      <c r="AE11" s="186"/>
      <c r="AF11" s="192"/>
      <c r="AG11" s="205"/>
      <c r="AH11" s="186"/>
      <c r="AI11" s="186"/>
      <c r="AJ11" s="206"/>
      <c r="AK11" s="185"/>
      <c r="AL11" s="186"/>
      <c r="AM11" s="186"/>
      <c r="AN11" s="192"/>
      <c r="AO11" s="262">
        <v>0</v>
      </c>
      <c r="AP11" s="158">
        <v>0</v>
      </c>
      <c r="AQ11" s="158">
        <v>0</v>
      </c>
      <c r="AR11" s="157">
        <v>0</v>
      </c>
      <c r="AS11" s="343" t="s">
        <v>802</v>
      </c>
      <c r="AT11" s="206"/>
      <c r="AU11" s="205"/>
      <c r="AV11" s="206"/>
      <c r="AW11" s="205"/>
      <c r="AX11" s="206"/>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9" t="str">
        <f t="shared" ref="BG11:BG12" si="5">IF(ISNUMBER((AY11+AZ11)/BA11),(AY11+AZ11)/BA11," - ")</f>
        <v xml:space="preserve"> - </v>
      </c>
      <c r="BH11" s="158">
        <v>0</v>
      </c>
      <c r="BI11" s="158"/>
      <c r="BJ11" s="205"/>
      <c r="BK11" s="158"/>
      <c r="BL11" s="158"/>
      <c r="BM11" s="158">
        <v>1000</v>
      </c>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v>1088</v>
      </c>
      <c r="CO11" s="160">
        <v>1000</v>
      </c>
      <c r="CP11" s="159">
        <v>1088</v>
      </c>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8" t="s">
        <v>876</v>
      </c>
      <c r="EP11" s="1001"/>
      <c r="EQ11" s="1001"/>
      <c r="ER11" s="1005">
        <v>1323</v>
      </c>
      <c r="ES11" s="1001"/>
      <c r="ET11" s="1145"/>
      <c r="EU11" s="1145"/>
      <c r="EV11" s="1158"/>
      <c r="EW11" s="1158"/>
      <c r="EX11" s="292"/>
      <c r="EY11" s="292"/>
    </row>
    <row r="12" spans="1:155" ht="14.25" customHeight="1">
      <c r="A12" s="20" t="s">
        <v>404</v>
      </c>
      <c r="B12" s="21" t="s">
        <v>402</v>
      </c>
      <c r="C12" s="22" t="s">
        <v>3</v>
      </c>
      <c r="D12" s="23" t="s">
        <v>20</v>
      </c>
      <c r="E12" s="21" t="s">
        <v>20</v>
      </c>
      <c r="F12" s="21">
        <v>31</v>
      </c>
      <c r="G12" s="6"/>
      <c r="H12" s="218"/>
      <c r="I12" s="185">
        <v>499</v>
      </c>
      <c r="J12" s="186">
        <v>1028</v>
      </c>
      <c r="K12" s="186">
        <v>834</v>
      </c>
      <c r="L12" s="186">
        <v>693</v>
      </c>
      <c r="M12" s="186">
        <v>237</v>
      </c>
      <c r="N12" s="186">
        <v>393</v>
      </c>
      <c r="O12" s="184">
        <v>341</v>
      </c>
      <c r="P12" s="186">
        <v>245</v>
      </c>
      <c r="Q12" s="186">
        <v>280</v>
      </c>
      <c r="R12" s="186">
        <v>1087</v>
      </c>
      <c r="S12" s="186">
        <v>531</v>
      </c>
      <c r="T12" s="186">
        <v>1015</v>
      </c>
      <c r="U12" s="186">
        <v>1032</v>
      </c>
      <c r="V12" s="186">
        <v>499</v>
      </c>
      <c r="W12" s="186">
        <v>301</v>
      </c>
      <c r="X12" s="192">
        <v>459</v>
      </c>
      <c r="Y12" s="194">
        <v>18</v>
      </c>
      <c r="Z12" s="184">
        <v>60</v>
      </c>
      <c r="AA12" s="184">
        <v>57</v>
      </c>
      <c r="AB12" s="184">
        <v>21</v>
      </c>
      <c r="AC12" s="186">
        <v>0</v>
      </c>
      <c r="AD12" s="186">
        <v>0</v>
      </c>
      <c r="AE12" s="186">
        <v>0</v>
      </c>
      <c r="AF12" s="192">
        <v>0</v>
      </c>
      <c r="AG12" s="205">
        <v>25</v>
      </c>
      <c r="AH12" s="186">
        <v>76</v>
      </c>
      <c r="AI12" s="186">
        <v>83</v>
      </c>
      <c r="AJ12" s="206">
        <v>18</v>
      </c>
      <c r="AK12" s="185">
        <v>0</v>
      </c>
      <c r="AL12" s="186">
        <v>0</v>
      </c>
      <c r="AM12" s="186">
        <v>0</v>
      </c>
      <c r="AN12" s="192">
        <v>0</v>
      </c>
      <c r="AO12" s="262">
        <v>2</v>
      </c>
      <c r="AP12" s="158">
        <v>2</v>
      </c>
      <c r="AQ12" s="158">
        <v>2</v>
      </c>
      <c r="AR12" s="157">
        <v>2</v>
      </c>
      <c r="AS12" s="343" t="s">
        <v>803</v>
      </c>
      <c r="AT12" s="206"/>
      <c r="AU12" s="205"/>
      <c r="AV12" s="206"/>
      <c r="AW12" s="205"/>
      <c r="AX12" s="206"/>
      <c r="AY12" s="126">
        <f t="shared" si="1"/>
        <v>556</v>
      </c>
      <c r="AZ12" s="127">
        <f t="shared" si="1"/>
        <v>1091</v>
      </c>
      <c r="BA12" s="127">
        <f t="shared" si="1"/>
        <v>1115</v>
      </c>
      <c r="BB12" s="127">
        <f t="shared" si="1"/>
        <v>517</v>
      </c>
      <c r="BC12" s="125">
        <f>IF(ISNUMBER(X12),X12," - ")</f>
        <v>459</v>
      </c>
      <c r="BD12" s="126">
        <f t="shared" si="2"/>
        <v>1.0219981668194318</v>
      </c>
      <c r="BE12" s="127">
        <f t="shared" si="3"/>
        <v>0.46367713004484307</v>
      </c>
      <c r="BF12" s="127">
        <f t="shared" si="4"/>
        <v>0.4116591928251121</v>
      </c>
      <c r="BG12" s="199">
        <f t="shared" si="5"/>
        <v>1.4771300448430493</v>
      </c>
      <c r="BH12" s="158">
        <v>2</v>
      </c>
      <c r="BI12" s="158"/>
      <c r="BJ12" s="205"/>
      <c r="BK12" s="158"/>
      <c r="BL12" s="158"/>
      <c r="BM12" s="158">
        <v>380</v>
      </c>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v>1088</v>
      </c>
      <c r="CO12" s="160">
        <v>2880</v>
      </c>
      <c r="CP12" s="159">
        <v>1088</v>
      </c>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8" t="s">
        <v>877</v>
      </c>
      <c r="EP12" s="1002"/>
      <c r="EQ12" s="1002"/>
      <c r="ER12" s="1003">
        <v>680</v>
      </c>
      <c r="ES12" s="1002"/>
      <c r="ET12" s="1145"/>
      <c r="EU12" s="1145"/>
      <c r="EV12" s="1158"/>
      <c r="EW12" s="1158"/>
      <c r="EX12" s="292"/>
      <c r="EY12" s="292"/>
    </row>
    <row r="13" spans="1:155" ht="14.25" customHeight="1" thickBot="1">
      <c r="A13" s="74" t="s">
        <v>0</v>
      </c>
      <c r="B13" s="75" t="s">
        <v>402</v>
      </c>
      <c r="C13" s="76" t="s">
        <v>4</v>
      </c>
      <c r="D13" s="77"/>
      <c r="E13" s="78"/>
      <c r="F13" s="78"/>
      <c r="G13" s="79"/>
      <c r="H13" s="80"/>
      <c r="I13" s="187">
        <f t="shared" ref="I13:AE13" si="6">SUBTOTAL(9,I8:I12)</f>
        <v>508</v>
      </c>
      <c r="J13" s="187">
        <f t="shared" si="6"/>
        <v>1035</v>
      </c>
      <c r="K13" s="187">
        <f t="shared" si="6"/>
        <v>842</v>
      </c>
      <c r="L13" s="187">
        <f t="shared" si="6"/>
        <v>701</v>
      </c>
      <c r="M13" s="187">
        <f t="shared" si="6"/>
        <v>241</v>
      </c>
      <c r="N13" s="187">
        <f t="shared" si="6"/>
        <v>397</v>
      </c>
      <c r="O13" s="187">
        <f t="shared" si="6"/>
        <v>341</v>
      </c>
      <c r="P13" s="187">
        <f t="shared" si="6"/>
        <v>249</v>
      </c>
      <c r="Q13" s="187">
        <f t="shared" si="6"/>
        <v>280</v>
      </c>
      <c r="R13" s="187">
        <f t="shared" si="6"/>
        <v>1092</v>
      </c>
      <c r="S13" s="187">
        <f t="shared" si="6"/>
        <v>531</v>
      </c>
      <c r="T13" s="187">
        <f t="shared" si="6"/>
        <v>1028</v>
      </c>
      <c r="U13" s="187">
        <f t="shared" si="6"/>
        <v>1036</v>
      </c>
      <c r="V13" s="187">
        <f t="shared" si="6"/>
        <v>508</v>
      </c>
      <c r="W13" s="187">
        <f t="shared" si="6"/>
        <v>305</v>
      </c>
      <c r="X13" s="187">
        <f t="shared" si="6"/>
        <v>459</v>
      </c>
      <c r="Y13" s="187">
        <f t="shared" si="6"/>
        <v>18</v>
      </c>
      <c r="Z13" s="187">
        <f t="shared" si="6"/>
        <v>60</v>
      </c>
      <c r="AA13" s="187">
        <f t="shared" si="6"/>
        <v>57</v>
      </c>
      <c r="AB13" s="187">
        <f t="shared" si="6"/>
        <v>21</v>
      </c>
      <c r="AC13" s="187">
        <f t="shared" si="6"/>
        <v>0</v>
      </c>
      <c r="AD13" s="187">
        <f t="shared" si="6"/>
        <v>0</v>
      </c>
      <c r="AE13" s="187">
        <f t="shared" si="6"/>
        <v>0</v>
      </c>
      <c r="AF13" s="187">
        <f>SUBTOTAL(9,AF9:AF12)</f>
        <v>0</v>
      </c>
      <c r="AG13" s="187">
        <f t="shared" ref="AG13:AT13" si="7">SUBTOTAL(9,AG8:AG12)</f>
        <v>25</v>
      </c>
      <c r="AH13" s="187">
        <f t="shared" si="7"/>
        <v>76</v>
      </c>
      <c r="AI13" s="187">
        <f t="shared" si="7"/>
        <v>83</v>
      </c>
      <c r="AJ13" s="187">
        <f t="shared" si="7"/>
        <v>18</v>
      </c>
      <c r="AK13" s="187">
        <f t="shared" si="7"/>
        <v>0</v>
      </c>
      <c r="AL13" s="187">
        <f t="shared" si="7"/>
        <v>0</v>
      </c>
      <c r="AM13" s="187">
        <f t="shared" si="7"/>
        <v>0</v>
      </c>
      <c r="AN13" s="187">
        <f t="shared" si="7"/>
        <v>0</v>
      </c>
      <c r="AO13" s="187">
        <f t="shared" si="7"/>
        <v>3</v>
      </c>
      <c r="AP13" s="187">
        <f t="shared" si="7"/>
        <v>2</v>
      </c>
      <c r="AQ13" s="187">
        <f t="shared" si="7"/>
        <v>2</v>
      </c>
      <c r="AR13" s="187">
        <f t="shared" si="7"/>
        <v>2</v>
      </c>
      <c r="AS13" s="187">
        <f t="shared" si="7"/>
        <v>0</v>
      </c>
      <c r="AT13" s="187">
        <f t="shared" si="7"/>
        <v>0</v>
      </c>
      <c r="AU13" s="207"/>
      <c r="AV13" s="132"/>
      <c r="AW13" s="207"/>
      <c r="AX13" s="132"/>
      <c r="AY13" s="187">
        <f>SUBTOTAL(9,AY8:AY12)</f>
        <v>556</v>
      </c>
      <c r="AZ13" s="187">
        <f>SUBTOTAL(9,AZ8:AZ12)</f>
        <v>1104</v>
      </c>
      <c r="BA13" s="187">
        <f>SUBTOTAL(9,BA8:BA12)</f>
        <v>1119</v>
      </c>
      <c r="BB13" s="187">
        <f>SUBTOTAL(9,BB8:BB12)</f>
        <v>526</v>
      </c>
      <c r="BC13" s="187">
        <f>SUBTOTAL(9,BC8:BC12)</f>
        <v>463</v>
      </c>
      <c r="BD13" s="208">
        <f>IF(ISNUMBER(BA13/AZ13),BA13/AZ13," - ")</f>
        <v>1.013586956521739</v>
      </c>
      <c r="BE13" s="209">
        <f>IF(ISNUMBER(BB13/BA13),BB13/BA13, " - ")</f>
        <v>0.47006255585344059</v>
      </c>
      <c r="BF13" s="209">
        <f>IF(ISNUMBER(BC13/BA13),BC13/BA13, " - ")</f>
        <v>0.41376228775692581</v>
      </c>
      <c r="BG13" s="210">
        <f>IF(ISNUMBER((AY13+AZ13)/BA13),(AY13+AZ13)/BA13," - ")</f>
        <v>1.483467381590706</v>
      </c>
      <c r="BH13" s="143">
        <f>SUBTOTAL(9,BH8:BH12)</f>
        <v>3</v>
      </c>
      <c r="BI13" s="143">
        <f>SUBTOTAL(9,BI8:BI12)</f>
        <v>0</v>
      </c>
      <c r="BJ13" s="143">
        <f>SUBTOTAL(9,BJ8:BJ12)</f>
        <v>0</v>
      </c>
      <c r="BK13" s="143">
        <f>SUBTOTAL(9,BK8:BK12)</f>
        <v>0</v>
      </c>
      <c r="BL13" s="143">
        <f>SUBTOTAL(9,BL8:BL12)</f>
        <v>0</v>
      </c>
      <c r="BM13" s="143">
        <f>AVERAGE(BM8:BM12)</f>
        <v>525</v>
      </c>
      <c r="BN13" s="143"/>
      <c r="BO13" s="143"/>
      <c r="BP13" s="143"/>
      <c r="BQ13" s="143"/>
      <c r="BR13" s="143"/>
      <c r="BS13" s="143"/>
      <c r="BT13" s="143"/>
      <c r="BU13" s="143"/>
      <c r="BV13" s="143"/>
      <c r="BW13" s="143"/>
      <c r="BX13" s="143"/>
      <c r="BY13" s="154"/>
      <c r="BZ13" s="154"/>
      <c r="CA13" s="143">
        <f t="shared" ref="CA13:CL13" si="8">SUBTOTAL(9,CA8:CA12)</f>
        <v>0</v>
      </c>
      <c r="CB13" s="143">
        <f t="shared" si="8"/>
        <v>0</v>
      </c>
      <c r="CC13" s="143">
        <f t="shared" si="8"/>
        <v>0</v>
      </c>
      <c r="CD13" s="143">
        <f t="shared" si="8"/>
        <v>0</v>
      </c>
      <c r="CE13" s="143">
        <f t="shared" si="8"/>
        <v>0</v>
      </c>
      <c r="CF13" s="143">
        <f t="shared" si="8"/>
        <v>0</v>
      </c>
      <c r="CG13" s="143">
        <f t="shared" si="8"/>
        <v>0</v>
      </c>
      <c r="CH13" s="143">
        <f t="shared" si="8"/>
        <v>0</v>
      </c>
      <c r="CI13" s="143">
        <f t="shared" si="8"/>
        <v>0</v>
      </c>
      <c r="CJ13" s="143">
        <f t="shared" si="8"/>
        <v>0</v>
      </c>
      <c r="CK13" s="143">
        <f t="shared" si="8"/>
        <v>0</v>
      </c>
      <c r="CL13" s="143">
        <f t="shared" si="8"/>
        <v>0</v>
      </c>
      <c r="CM13" s="143"/>
      <c r="CN13" s="154">
        <f>AVERAGE(CN8:CN12)</f>
        <v>1109.75</v>
      </c>
      <c r="CO13" s="154">
        <f>AVERAGE(CO8:CO12)</f>
        <v>1150</v>
      </c>
      <c r="CP13" s="154">
        <f>AVERAGE(CP8:CP12)</f>
        <v>1109.75</v>
      </c>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SUBTOTAL(9,EL8:EL12)</f>
        <v>0</v>
      </c>
      <c r="EM13" s="143">
        <f>SUBTOTAL(9,EM8:EM12)</f>
        <v>0</v>
      </c>
      <c r="EN13" s="143">
        <f>SUBTOTAL(9,EN8:EN12)</f>
        <v>0</v>
      </c>
      <c r="EO13" s="325"/>
      <c r="EP13" s="154">
        <f>SUBTOTAL(9,EP8:EP12)</f>
        <v>0</v>
      </c>
      <c r="EQ13" s="154">
        <f>SUBTOTAL(9,EQ8:EQ12)</f>
        <v>0</v>
      </c>
      <c r="ER13" s="154">
        <f>AVERAGE(ER8:ER12)</f>
        <v>990.2</v>
      </c>
      <c r="ES13" s="154">
        <f>SUBTOTAL(9,ES8:ES12)</f>
        <v>0</v>
      </c>
      <c r="ET13" s="1146"/>
      <c r="EU13" s="1146"/>
      <c r="EV13" s="154">
        <f>SUBTOTAL(9,EV8:EV12)</f>
        <v>0</v>
      </c>
      <c r="EW13" s="154"/>
      <c r="EX13" s="154">
        <f>SUBTOTAL(9,EX8:EX12)</f>
        <v>0</v>
      </c>
      <c r="EY13" s="154">
        <f>SUBTOTAL(9,EY8:EY12)</f>
        <v>0</v>
      </c>
    </row>
    <row r="14" spans="1:155" ht="14.25" customHeight="1" thickBot="1">
      <c r="A14" s="70" t="s">
        <v>101</v>
      </c>
      <c r="B14" s="82" t="s">
        <v>402</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41"/>
      <c r="EQ14" s="341"/>
      <c r="ER14" s="341"/>
      <c r="ES14" s="341"/>
      <c r="ET14" s="186"/>
      <c r="EU14" s="186"/>
      <c r="EV14" s="155"/>
      <c r="EW14" s="155"/>
      <c r="EX14" s="155"/>
      <c r="EY14" s="155"/>
    </row>
    <row r="15" spans="1:155" ht="14.25" customHeight="1">
      <c r="A15" s="7" t="s">
        <v>405</v>
      </c>
      <c r="B15" s="21" t="s">
        <v>402</v>
      </c>
      <c r="C15" s="22" t="s">
        <v>3</v>
      </c>
      <c r="D15" s="23" t="s">
        <v>20</v>
      </c>
      <c r="E15" s="21" t="s">
        <v>22</v>
      </c>
      <c r="F15" s="21">
        <v>33</v>
      </c>
      <c r="G15" s="6"/>
      <c r="H15" s="24"/>
      <c r="I15" s="185" t="s">
        <v>488</v>
      </c>
      <c r="J15" s="186" t="s">
        <v>484</v>
      </c>
      <c r="K15" s="186" t="s">
        <v>485</v>
      </c>
      <c r="L15" s="186" t="s">
        <v>486</v>
      </c>
      <c r="M15" s="186" t="s">
        <v>491</v>
      </c>
      <c r="N15" s="186" t="s">
        <v>150</v>
      </c>
      <c r="O15" s="184" t="s">
        <v>225</v>
      </c>
      <c r="P15" s="186" t="s">
        <v>470</v>
      </c>
      <c r="Q15" s="186" t="s">
        <v>471</v>
      </c>
      <c r="R15" s="186" t="s">
        <v>472</v>
      </c>
      <c r="S15" s="186"/>
      <c r="T15" s="186"/>
      <c r="U15" s="186"/>
      <c r="V15" s="186"/>
      <c r="W15" s="186"/>
      <c r="X15" s="192"/>
      <c r="Y15" s="205"/>
      <c r="Z15" s="186"/>
      <c r="AA15" s="186"/>
      <c r="AB15" s="186"/>
      <c r="AC15" s="186" t="s">
        <v>44</v>
      </c>
      <c r="AD15" s="186" t="s">
        <v>48</v>
      </c>
      <c r="AE15" s="186" t="s">
        <v>49</v>
      </c>
      <c r="AF15" s="192" t="s">
        <v>50</v>
      </c>
      <c r="AG15" s="205"/>
      <c r="AH15" s="186"/>
      <c r="AI15" s="186"/>
      <c r="AJ15" s="206"/>
      <c r="AK15" s="185"/>
      <c r="AL15" s="186"/>
      <c r="AM15" s="186"/>
      <c r="AN15" s="192"/>
      <c r="AO15" s="262">
        <v>0</v>
      </c>
      <c r="AP15" s="158">
        <v>0</v>
      </c>
      <c r="AQ15" s="158">
        <v>0</v>
      </c>
      <c r="AR15" s="158">
        <v>0</v>
      </c>
      <c r="AS15" s="343" t="s">
        <v>527</v>
      </c>
      <c r="AT15" s="206" t="s">
        <v>326</v>
      </c>
      <c r="AU15" s="205"/>
      <c r="AV15" s="206"/>
      <c r="AW15" s="205"/>
      <c r="AX15" s="206"/>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9" t="str">
        <f t="shared" ref="BG15:BG16" si="10">IF(ISNUMBER((AY15+AZ15)/BA15),(AY15+AZ15)/BA15," - ")</f>
        <v xml:space="preserve"> - </v>
      </c>
      <c r="BH15" s="158">
        <v>0</v>
      </c>
      <c r="BI15" s="158"/>
      <c r="BJ15" s="205"/>
      <c r="BK15" s="158"/>
      <c r="BL15" s="158"/>
      <c r="BM15" s="158">
        <v>6650</v>
      </c>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v>1262</v>
      </c>
      <c r="CO15" s="158">
        <v>6600</v>
      </c>
      <c r="CP15" s="158">
        <v>1262</v>
      </c>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8" t="s">
        <v>804</v>
      </c>
      <c r="EP15" s="1001"/>
      <c r="EQ15" s="1001"/>
      <c r="ER15" s="1005">
        <v>3300</v>
      </c>
      <c r="ES15" s="1001"/>
      <c r="ET15" s="1145"/>
      <c r="EU15" s="1145"/>
      <c r="EV15" s="1158"/>
      <c r="EW15" s="1158"/>
      <c r="EX15" s="158"/>
      <c r="EY15" s="158"/>
    </row>
    <row r="16" spans="1:155" ht="14.25" customHeight="1">
      <c r="A16" s="7" t="s">
        <v>404</v>
      </c>
      <c r="B16" s="21" t="s">
        <v>402</v>
      </c>
      <c r="C16" s="22" t="s">
        <v>3</v>
      </c>
      <c r="D16" s="23" t="s">
        <v>20</v>
      </c>
      <c r="E16" s="21" t="s">
        <v>20</v>
      </c>
      <c r="F16" s="21">
        <v>31</v>
      </c>
      <c r="G16" s="6"/>
      <c r="H16" s="24"/>
      <c r="I16" s="185">
        <v>201</v>
      </c>
      <c r="J16" s="186">
        <v>939</v>
      </c>
      <c r="K16" s="186">
        <v>882</v>
      </c>
      <c r="L16" s="186">
        <v>263</v>
      </c>
      <c r="M16" s="186">
        <v>120</v>
      </c>
      <c r="N16" s="186">
        <v>521</v>
      </c>
      <c r="O16" s="184">
        <v>12</v>
      </c>
      <c r="P16" s="186">
        <v>32</v>
      </c>
      <c r="Q16" s="186">
        <v>26</v>
      </c>
      <c r="R16" s="186">
        <v>48</v>
      </c>
      <c r="S16" s="186">
        <v>182</v>
      </c>
      <c r="T16" s="186">
        <v>805</v>
      </c>
      <c r="U16" s="186">
        <v>787</v>
      </c>
      <c r="V16" s="186">
        <v>201</v>
      </c>
      <c r="W16" s="186">
        <v>127</v>
      </c>
      <c r="X16" s="192">
        <v>446</v>
      </c>
      <c r="Y16" s="205">
        <v>0</v>
      </c>
      <c r="Z16" s="186">
        <v>0</v>
      </c>
      <c r="AA16" s="186">
        <v>0</v>
      </c>
      <c r="AB16" s="186">
        <v>0</v>
      </c>
      <c r="AC16" s="186">
        <v>0</v>
      </c>
      <c r="AD16" s="186">
        <v>1</v>
      </c>
      <c r="AE16" s="186">
        <v>1</v>
      </c>
      <c r="AF16" s="192">
        <v>0</v>
      </c>
      <c r="AG16" s="205">
        <v>0</v>
      </c>
      <c r="AH16" s="186">
        <v>0</v>
      </c>
      <c r="AI16" s="186">
        <v>0</v>
      </c>
      <c r="AJ16" s="206">
        <v>0</v>
      </c>
      <c r="AK16" s="185">
        <v>0</v>
      </c>
      <c r="AL16" s="186">
        <v>1</v>
      </c>
      <c r="AM16" s="186">
        <v>1</v>
      </c>
      <c r="AN16" s="192">
        <v>0</v>
      </c>
      <c r="AO16" s="262">
        <v>2</v>
      </c>
      <c r="AP16" s="158">
        <v>2</v>
      </c>
      <c r="AQ16" s="158">
        <v>2</v>
      </c>
      <c r="AR16" s="158">
        <v>2</v>
      </c>
      <c r="AS16" s="343" t="s">
        <v>487</v>
      </c>
      <c r="AT16" s="206"/>
      <c r="AU16" s="205"/>
      <c r="AV16" s="206"/>
      <c r="AW16" s="205"/>
      <c r="AX16" s="206"/>
      <c r="AY16" s="126">
        <f t="shared" si="9"/>
        <v>182</v>
      </c>
      <c r="AZ16" s="127">
        <f t="shared" si="9"/>
        <v>805</v>
      </c>
      <c r="BA16" s="127">
        <f t="shared" si="9"/>
        <v>787</v>
      </c>
      <c r="BB16" s="127">
        <f t="shared" si="9"/>
        <v>201</v>
      </c>
      <c r="BC16" s="125">
        <f>IF(ISNUMBER(W16),W16," - ")</f>
        <v>127</v>
      </c>
      <c r="BD16" s="126">
        <f t="shared" ref="BD16" si="11">IF(ISNUMBER(BA16/AZ16),BA16/AZ16," - ")</f>
        <v>0.97763975155279503</v>
      </c>
      <c r="BE16" s="127">
        <f t="shared" ref="BE16" si="12">IF(ISNUMBER(BB16/BA16),BB16/BA16, " - ")</f>
        <v>0.2554002541296061</v>
      </c>
      <c r="BF16" s="127">
        <f t="shared" ref="BF16" si="13">IF(ISNUMBER(BC16/BA16),BC16/BA16, " - ")</f>
        <v>0.16137229987293519</v>
      </c>
      <c r="BG16" s="199">
        <f t="shared" si="10"/>
        <v>1.2541296060991105</v>
      </c>
      <c r="BH16" s="158">
        <v>2</v>
      </c>
      <c r="BI16" s="158"/>
      <c r="BJ16" s="205"/>
      <c r="BK16" s="158"/>
      <c r="BL16" s="158"/>
      <c r="BM16" s="158">
        <v>2500</v>
      </c>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v>1088</v>
      </c>
      <c r="CO16" s="160">
        <v>2880</v>
      </c>
      <c r="CP16" s="158">
        <v>1088</v>
      </c>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8" t="s">
        <v>774</v>
      </c>
      <c r="EP16" s="1001"/>
      <c r="EQ16" s="1001"/>
      <c r="ER16" s="1005">
        <v>1000</v>
      </c>
      <c r="ES16" s="1001"/>
      <c r="ET16" s="1145"/>
      <c r="EU16" s="1145"/>
      <c r="EV16" s="1158"/>
      <c r="EW16" s="1158"/>
      <c r="EX16" s="158"/>
      <c r="EY16" s="158"/>
    </row>
    <row r="17" spans="1:155" ht="14.25" customHeight="1">
      <c r="A17" s="7" t="s">
        <v>143</v>
      </c>
      <c r="B17" s="21" t="s">
        <v>402</v>
      </c>
      <c r="C17" s="22" t="s">
        <v>3</v>
      </c>
      <c r="D17" s="23" t="s">
        <v>82</v>
      </c>
      <c r="E17" s="21" t="s">
        <v>82</v>
      </c>
      <c r="F17" s="21" t="s">
        <v>138</v>
      </c>
      <c r="G17" s="6"/>
      <c r="H17" s="24"/>
      <c r="I17" s="185">
        <v>10</v>
      </c>
      <c r="J17" s="186">
        <v>108</v>
      </c>
      <c r="K17" s="186">
        <v>104</v>
      </c>
      <c r="L17" s="186">
        <v>14</v>
      </c>
      <c r="M17" s="186">
        <v>25</v>
      </c>
      <c r="N17" s="186">
        <v>65</v>
      </c>
      <c r="O17" s="186">
        <v>0</v>
      </c>
      <c r="P17" s="186">
        <v>3</v>
      </c>
      <c r="Q17" s="186">
        <v>1</v>
      </c>
      <c r="R17" s="186">
        <v>3</v>
      </c>
      <c r="S17" s="186">
        <v>18</v>
      </c>
      <c r="T17" s="186">
        <v>67</v>
      </c>
      <c r="U17" s="186">
        <v>74</v>
      </c>
      <c r="V17" s="186">
        <v>10</v>
      </c>
      <c r="W17" s="186">
        <v>7</v>
      </c>
      <c r="X17" s="192">
        <v>50</v>
      </c>
      <c r="Y17" s="205">
        <v>0</v>
      </c>
      <c r="Z17" s="186">
        <v>0</v>
      </c>
      <c r="AA17" s="186">
        <v>0</v>
      </c>
      <c r="AB17" s="186">
        <v>0</v>
      </c>
      <c r="AC17" s="186">
        <v>0</v>
      </c>
      <c r="AD17" s="186">
        <v>0</v>
      </c>
      <c r="AE17" s="186">
        <v>0</v>
      </c>
      <c r="AF17" s="192">
        <v>0</v>
      </c>
      <c r="AG17" s="205">
        <v>0</v>
      </c>
      <c r="AH17" s="186">
        <v>0</v>
      </c>
      <c r="AI17" s="186">
        <v>0</v>
      </c>
      <c r="AJ17" s="206">
        <v>0</v>
      </c>
      <c r="AK17" s="185">
        <v>0</v>
      </c>
      <c r="AL17" s="186">
        <v>0</v>
      </c>
      <c r="AM17" s="186">
        <v>0</v>
      </c>
      <c r="AN17" s="192">
        <v>0</v>
      </c>
      <c r="AO17" s="262">
        <v>1</v>
      </c>
      <c r="AP17" s="158">
        <v>0</v>
      </c>
      <c r="AQ17" s="157">
        <v>0</v>
      </c>
      <c r="AR17" s="158">
        <v>0</v>
      </c>
      <c r="AS17" s="342" t="s">
        <v>793</v>
      </c>
      <c r="AT17" s="212"/>
      <c r="AU17" s="203"/>
      <c r="AV17" s="212"/>
      <c r="AW17" s="203"/>
      <c r="AX17" s="212"/>
      <c r="AY17" s="128">
        <f t="shared" ref="AY17:BB17" si="14">IF(ISNUMBER(S17),S17," - ")</f>
        <v>18</v>
      </c>
      <c r="AZ17" s="129">
        <f t="shared" si="14"/>
        <v>67</v>
      </c>
      <c r="BA17" s="129">
        <f t="shared" si="14"/>
        <v>74</v>
      </c>
      <c r="BB17" s="129">
        <f t="shared" si="14"/>
        <v>10</v>
      </c>
      <c r="BC17" s="125">
        <f>IF(ISNUMBER(W17),W17," - ")</f>
        <v>7</v>
      </c>
      <c r="BD17" s="126">
        <f>IF(ISNUMBER(BA17/AZ17),BA17/AZ17," - ")</f>
        <v>1.1044776119402986</v>
      </c>
      <c r="BE17" s="127">
        <f>IF(ISNUMBER(BB17/BA17),BB17/BA17, " - ")</f>
        <v>0.13513513513513514</v>
      </c>
      <c r="BF17" s="127">
        <f>IF(ISNUMBER(BC17/BA17),BC17/BA17, " - ")</f>
        <v>9.45945945945946E-2</v>
      </c>
      <c r="BG17" s="199">
        <f>IF(ISNUMBER((AY17+AZ17)/BA17),(AY17+AZ17)/BA17," - ")</f>
        <v>1.1486486486486487</v>
      </c>
      <c r="BH17" s="158">
        <v>1</v>
      </c>
      <c r="BI17" s="158"/>
      <c r="BJ17" s="203"/>
      <c r="BK17" s="157"/>
      <c r="BL17" s="157"/>
      <c r="BM17" s="157">
        <v>1800</v>
      </c>
      <c r="BN17" s="157"/>
      <c r="BO17" s="157"/>
      <c r="BP17" s="157"/>
      <c r="BQ17" s="157"/>
      <c r="BR17" s="157"/>
      <c r="BS17" s="157"/>
      <c r="BT17" s="157"/>
      <c r="BU17" s="157"/>
      <c r="BV17" s="157"/>
      <c r="BW17" s="157"/>
      <c r="BX17" s="157"/>
      <c r="BY17" s="177" t="s">
        <v>729</v>
      </c>
      <c r="BZ17" s="177" t="s">
        <v>730</v>
      </c>
      <c r="CA17" s="157"/>
      <c r="CB17" s="157"/>
      <c r="CC17" s="157"/>
      <c r="CD17" s="157"/>
      <c r="CE17" s="157"/>
      <c r="CF17" s="157"/>
      <c r="CG17" s="157"/>
      <c r="CH17" s="157"/>
      <c r="CI17" s="157"/>
      <c r="CJ17" s="157"/>
      <c r="CK17" s="157"/>
      <c r="CL17" s="157"/>
      <c r="CM17" s="157"/>
      <c r="CN17" s="157">
        <v>1175</v>
      </c>
      <c r="CO17" s="157">
        <v>1800</v>
      </c>
      <c r="CP17" s="157">
        <v>1175</v>
      </c>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t="s">
        <v>775</v>
      </c>
      <c r="EP17" s="342"/>
      <c r="EQ17" s="342"/>
      <c r="ER17" s="1004">
        <v>1600</v>
      </c>
      <c r="ES17" s="342"/>
      <c r="ET17" s="1145"/>
      <c r="EU17" s="1145"/>
      <c r="EV17" s="1158"/>
      <c r="EW17" s="1158"/>
      <c r="EX17" s="158"/>
      <c r="EY17" s="158"/>
    </row>
    <row r="18" spans="1:155" ht="14.25" customHeight="1" thickBot="1">
      <c r="A18" s="74" t="s">
        <v>0</v>
      </c>
      <c r="B18" s="75" t="s">
        <v>402</v>
      </c>
      <c r="C18" s="76" t="s">
        <v>4</v>
      </c>
      <c r="D18" s="77"/>
      <c r="E18" s="78"/>
      <c r="F18" s="78"/>
      <c r="G18" s="79"/>
      <c r="H18" s="80"/>
      <c r="I18" s="187">
        <f t="shared" ref="I18:AT18" si="15">SUBTOTAL(9,I14:I17)</f>
        <v>211</v>
      </c>
      <c r="J18" s="187">
        <f t="shared" si="15"/>
        <v>1047</v>
      </c>
      <c r="K18" s="187">
        <f t="shared" si="15"/>
        <v>986</v>
      </c>
      <c r="L18" s="187">
        <f t="shared" si="15"/>
        <v>277</v>
      </c>
      <c r="M18" s="187">
        <f t="shared" si="15"/>
        <v>145</v>
      </c>
      <c r="N18" s="187">
        <f t="shared" si="15"/>
        <v>586</v>
      </c>
      <c r="O18" s="187">
        <f t="shared" si="15"/>
        <v>12</v>
      </c>
      <c r="P18" s="187">
        <f t="shared" si="15"/>
        <v>35</v>
      </c>
      <c r="Q18" s="187">
        <f t="shared" si="15"/>
        <v>27</v>
      </c>
      <c r="R18" s="187">
        <f t="shared" si="15"/>
        <v>51</v>
      </c>
      <c r="S18" s="187">
        <f t="shared" si="15"/>
        <v>200</v>
      </c>
      <c r="T18" s="187">
        <f t="shared" si="15"/>
        <v>872</v>
      </c>
      <c r="U18" s="187">
        <f t="shared" si="15"/>
        <v>861</v>
      </c>
      <c r="V18" s="187">
        <f t="shared" si="15"/>
        <v>211</v>
      </c>
      <c r="W18" s="187">
        <f t="shared" si="15"/>
        <v>134</v>
      </c>
      <c r="X18" s="187">
        <f t="shared" si="15"/>
        <v>496</v>
      </c>
      <c r="Y18" s="187">
        <f t="shared" si="15"/>
        <v>0</v>
      </c>
      <c r="Z18" s="187">
        <f t="shared" si="15"/>
        <v>0</v>
      </c>
      <c r="AA18" s="187">
        <f t="shared" si="15"/>
        <v>0</v>
      </c>
      <c r="AB18" s="187">
        <f t="shared" si="15"/>
        <v>0</v>
      </c>
      <c r="AC18" s="187">
        <f t="shared" si="15"/>
        <v>0</v>
      </c>
      <c r="AD18" s="187">
        <f t="shared" si="15"/>
        <v>1</v>
      </c>
      <c r="AE18" s="187">
        <f t="shared" si="15"/>
        <v>1</v>
      </c>
      <c r="AF18" s="187">
        <f t="shared" si="15"/>
        <v>0</v>
      </c>
      <c r="AG18" s="187">
        <f t="shared" si="15"/>
        <v>0</v>
      </c>
      <c r="AH18" s="187">
        <f t="shared" si="15"/>
        <v>0</v>
      </c>
      <c r="AI18" s="187">
        <f t="shared" si="15"/>
        <v>0</v>
      </c>
      <c r="AJ18" s="187">
        <f t="shared" si="15"/>
        <v>0</v>
      </c>
      <c r="AK18" s="187">
        <f t="shared" si="15"/>
        <v>0</v>
      </c>
      <c r="AL18" s="187">
        <f t="shared" si="15"/>
        <v>1</v>
      </c>
      <c r="AM18" s="187">
        <f t="shared" si="15"/>
        <v>1</v>
      </c>
      <c r="AN18" s="187">
        <f t="shared" si="15"/>
        <v>0</v>
      </c>
      <c r="AO18" s="187">
        <f t="shared" si="15"/>
        <v>3</v>
      </c>
      <c r="AP18" s="187">
        <f t="shared" si="15"/>
        <v>2</v>
      </c>
      <c r="AQ18" s="187">
        <f t="shared" si="15"/>
        <v>2</v>
      </c>
      <c r="AR18" s="187">
        <f t="shared" si="15"/>
        <v>2</v>
      </c>
      <c r="AS18" s="187">
        <f t="shared" si="15"/>
        <v>0</v>
      </c>
      <c r="AT18" s="187">
        <f t="shared" si="15"/>
        <v>0</v>
      </c>
      <c r="AU18" s="207"/>
      <c r="AV18" s="132"/>
      <c r="AW18" s="207"/>
      <c r="AX18" s="132"/>
      <c r="AY18" s="187">
        <f>SUBTOTAL(9,AY14:AY17)</f>
        <v>200</v>
      </c>
      <c r="AZ18" s="187">
        <f>SUBTOTAL(9,AZ14:AZ17)</f>
        <v>872</v>
      </c>
      <c r="BA18" s="187">
        <f>SUBTOTAL(9,BA14:BA17)</f>
        <v>861</v>
      </c>
      <c r="BB18" s="187">
        <f>SUBTOTAL(9,BB14:BB17)</f>
        <v>211</v>
      </c>
      <c r="BC18" s="187">
        <f>SUBTOTAL(9,BC14:BC17)</f>
        <v>134</v>
      </c>
      <c r="BD18" s="208">
        <f>IF(ISNUMBER(BA18/AZ18),BA18/AZ18," - ")</f>
        <v>0.98738532110091748</v>
      </c>
      <c r="BE18" s="209">
        <f>IF(ISNUMBER(BB18/BA18),BB18/BA18, " - ")</f>
        <v>0.24506387921022069</v>
      </c>
      <c r="BF18" s="209">
        <f>IF(ISNUMBER(BC18/BA18),BC18/BA18, " - ")</f>
        <v>0.15563298490127758</v>
      </c>
      <c r="BG18" s="210">
        <f>IF(ISNUMBER((AY18+AZ18)/BA18),(AY18+AZ18)/BA18," - ")</f>
        <v>1.2450638792102207</v>
      </c>
      <c r="BH18" s="187">
        <f>SUBTOTAL(9,BH14:BH17)</f>
        <v>3</v>
      </c>
      <c r="BI18" s="187">
        <f>SUBTOTAL(9,BI14:BI17)</f>
        <v>0</v>
      </c>
      <c r="BJ18" s="187">
        <f>SUBTOTAL(9,BJ14:BJ17)</f>
        <v>0</v>
      </c>
      <c r="BK18" s="187">
        <f>SUBTOTAL(9,BK14:BK17)</f>
        <v>0</v>
      </c>
      <c r="BL18" s="187">
        <f>SUBTOTAL(9,BL14:BL17)</f>
        <v>0</v>
      </c>
      <c r="BM18" s="143">
        <f>AVERAGE(BM15:BM17)</f>
        <v>3650</v>
      </c>
      <c r="BN18" s="154"/>
      <c r="BO18" s="154"/>
      <c r="BP18" s="154"/>
      <c r="BQ18" s="154"/>
      <c r="BR18" s="154"/>
      <c r="BS18" s="154"/>
      <c r="BT18" s="154"/>
      <c r="BU18" s="154"/>
      <c r="BV18" s="187"/>
      <c r="BW18" s="187"/>
      <c r="BX18" s="187"/>
      <c r="BY18" s="154"/>
      <c r="BZ18" s="154"/>
      <c r="CA18" s="187">
        <f t="shared" ref="CA18:CL18" si="16">SUBTOTAL(9,CA14:CA17)</f>
        <v>0</v>
      </c>
      <c r="CB18" s="187">
        <f t="shared" si="16"/>
        <v>0</v>
      </c>
      <c r="CC18" s="187">
        <f t="shared" si="16"/>
        <v>0</v>
      </c>
      <c r="CD18" s="187">
        <f t="shared" si="16"/>
        <v>0</v>
      </c>
      <c r="CE18" s="187">
        <f t="shared" si="16"/>
        <v>0</v>
      </c>
      <c r="CF18" s="187">
        <f t="shared" si="16"/>
        <v>0</v>
      </c>
      <c r="CG18" s="187">
        <f t="shared" si="16"/>
        <v>0</v>
      </c>
      <c r="CH18" s="187">
        <f t="shared" si="16"/>
        <v>0</v>
      </c>
      <c r="CI18" s="187">
        <f t="shared" si="16"/>
        <v>0</v>
      </c>
      <c r="CJ18" s="187">
        <f t="shared" si="16"/>
        <v>0</v>
      </c>
      <c r="CK18" s="187">
        <f t="shared" si="16"/>
        <v>0</v>
      </c>
      <c r="CL18" s="187">
        <f t="shared" si="16"/>
        <v>0</v>
      </c>
      <c r="CM18" s="299"/>
      <c r="CN18" s="154"/>
      <c r="CO18" s="154"/>
      <c r="CP18" s="154"/>
      <c r="CQ18" s="154"/>
      <c r="CR18" s="154"/>
      <c r="CS18" s="154"/>
      <c r="CT18" s="154"/>
      <c r="CU18" s="154"/>
      <c r="CV18" s="187">
        <f>SUBTOTAL(9,CV15:CV17)</f>
        <v>0</v>
      </c>
      <c r="CW18" s="187">
        <f>SUBTOTAL(9,CW15:CW17)</f>
        <v>0</v>
      </c>
      <c r="CX18" s="187"/>
      <c r="CY18" s="187">
        <f t="shared" ref="CY18:EN18" si="17">SUBTOTAL(9,CY15:CY17)</f>
        <v>0</v>
      </c>
      <c r="CZ18" s="187">
        <f t="shared" si="17"/>
        <v>0</v>
      </c>
      <c r="DA18" s="187">
        <f t="shared" si="17"/>
        <v>0</v>
      </c>
      <c r="DB18" s="187">
        <f t="shared" si="17"/>
        <v>0</v>
      </c>
      <c r="DC18" s="187">
        <f t="shared" si="17"/>
        <v>0</v>
      </c>
      <c r="DD18" s="187">
        <f t="shared" si="17"/>
        <v>0</v>
      </c>
      <c r="DE18" s="187">
        <f t="shared" si="17"/>
        <v>0</v>
      </c>
      <c r="DF18" s="187">
        <f t="shared" si="17"/>
        <v>0</v>
      </c>
      <c r="DG18" s="187">
        <f t="shared" si="17"/>
        <v>0</v>
      </c>
      <c r="DH18" s="187">
        <f t="shared" si="17"/>
        <v>0</v>
      </c>
      <c r="DI18" s="187">
        <f t="shared" si="17"/>
        <v>0</v>
      </c>
      <c r="DJ18" s="187">
        <f t="shared" si="17"/>
        <v>0</v>
      </c>
      <c r="DK18" s="187">
        <f t="shared" si="17"/>
        <v>0</v>
      </c>
      <c r="DL18" s="187">
        <f t="shared" si="17"/>
        <v>0</v>
      </c>
      <c r="DM18" s="187">
        <f t="shared" si="17"/>
        <v>0</v>
      </c>
      <c r="DN18" s="187">
        <f t="shared" si="17"/>
        <v>0</v>
      </c>
      <c r="DO18" s="187">
        <f t="shared" si="17"/>
        <v>0</v>
      </c>
      <c r="DP18" s="187">
        <f t="shared" si="17"/>
        <v>0</v>
      </c>
      <c r="DQ18" s="187">
        <f t="shared" si="17"/>
        <v>0</v>
      </c>
      <c r="DR18" s="187">
        <f t="shared" si="17"/>
        <v>0</v>
      </c>
      <c r="DS18" s="187">
        <f t="shared" si="17"/>
        <v>0</v>
      </c>
      <c r="DT18" s="187">
        <f t="shared" si="17"/>
        <v>0</v>
      </c>
      <c r="DU18" s="187">
        <f t="shared" si="17"/>
        <v>0</v>
      </c>
      <c r="DV18" s="641">
        <f t="shared" si="17"/>
        <v>0</v>
      </c>
      <c r="DW18" s="641">
        <f t="shared" si="17"/>
        <v>0</v>
      </c>
      <c r="DX18" s="641">
        <f t="shared" si="17"/>
        <v>0</v>
      </c>
      <c r="DY18" s="641">
        <f t="shared" si="17"/>
        <v>0</v>
      </c>
      <c r="DZ18" s="187">
        <f t="shared" si="17"/>
        <v>0</v>
      </c>
      <c r="EA18" s="187">
        <f t="shared" si="17"/>
        <v>0</v>
      </c>
      <c r="EB18" s="187">
        <f t="shared" si="17"/>
        <v>0</v>
      </c>
      <c r="EC18" s="187">
        <f t="shared" si="17"/>
        <v>0</v>
      </c>
      <c r="ED18" s="187">
        <f t="shared" si="17"/>
        <v>0</v>
      </c>
      <c r="EE18" s="187">
        <f t="shared" si="17"/>
        <v>0</v>
      </c>
      <c r="EF18" s="187">
        <f t="shared" si="17"/>
        <v>0</v>
      </c>
      <c r="EG18" s="187">
        <f t="shared" si="17"/>
        <v>0</v>
      </c>
      <c r="EH18" s="187">
        <f t="shared" si="17"/>
        <v>0</v>
      </c>
      <c r="EI18" s="187">
        <f t="shared" si="17"/>
        <v>0</v>
      </c>
      <c r="EJ18" s="187">
        <f t="shared" si="17"/>
        <v>0</v>
      </c>
      <c r="EK18" s="187">
        <f t="shared" si="17"/>
        <v>0</v>
      </c>
      <c r="EL18" s="187">
        <f t="shared" si="17"/>
        <v>0</v>
      </c>
      <c r="EM18" s="187">
        <f t="shared" si="17"/>
        <v>0</v>
      </c>
      <c r="EN18" s="187">
        <f t="shared" si="17"/>
        <v>0</v>
      </c>
      <c r="EO18" s="325"/>
      <c r="EP18" s="641">
        <f>SUBTOTAL(9,EP15:EP17)</f>
        <v>0</v>
      </c>
      <c r="EQ18" s="641">
        <f>SUBTOTAL(9,EQ15:EQ17)</f>
        <v>0</v>
      </c>
      <c r="ER18" s="154">
        <f>AVERAGE(ER15:ER17)</f>
        <v>1966.6666666666667</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18">SUBTOTAL(9,I9:I18)</f>
        <v>719</v>
      </c>
      <c r="J19" s="134">
        <f t="shared" si="18"/>
        <v>2082</v>
      </c>
      <c r="K19" s="134">
        <f t="shared" si="18"/>
        <v>1828</v>
      </c>
      <c r="L19" s="134">
        <f t="shared" si="18"/>
        <v>978</v>
      </c>
      <c r="M19" s="134">
        <f t="shared" si="18"/>
        <v>386</v>
      </c>
      <c r="N19" s="134">
        <f t="shared" si="18"/>
        <v>983</v>
      </c>
      <c r="O19" s="134">
        <f t="shared" si="18"/>
        <v>353</v>
      </c>
      <c r="P19" s="134">
        <f t="shared" si="18"/>
        <v>284</v>
      </c>
      <c r="Q19" s="134">
        <f t="shared" si="18"/>
        <v>307</v>
      </c>
      <c r="R19" s="134">
        <f t="shared" si="18"/>
        <v>1143</v>
      </c>
      <c r="S19" s="134">
        <f t="shared" si="18"/>
        <v>731</v>
      </c>
      <c r="T19" s="134">
        <f t="shared" si="18"/>
        <v>1900</v>
      </c>
      <c r="U19" s="134">
        <f t="shared" si="18"/>
        <v>1897</v>
      </c>
      <c r="V19" s="134">
        <f t="shared" si="18"/>
        <v>719</v>
      </c>
      <c r="W19" s="134">
        <f t="shared" si="18"/>
        <v>439</v>
      </c>
      <c r="X19" s="134">
        <f t="shared" si="18"/>
        <v>955</v>
      </c>
      <c r="Y19" s="134">
        <f t="shared" si="18"/>
        <v>18</v>
      </c>
      <c r="Z19" s="134">
        <f t="shared" si="18"/>
        <v>60</v>
      </c>
      <c r="AA19" s="134">
        <f t="shared" si="18"/>
        <v>57</v>
      </c>
      <c r="AB19" s="134">
        <f t="shared" si="18"/>
        <v>21</v>
      </c>
      <c r="AC19" s="134">
        <f t="shared" si="18"/>
        <v>0</v>
      </c>
      <c r="AD19" s="134">
        <f t="shared" si="18"/>
        <v>1</v>
      </c>
      <c r="AE19" s="134">
        <f t="shared" si="18"/>
        <v>1</v>
      </c>
      <c r="AF19" s="134">
        <f t="shared" si="18"/>
        <v>0</v>
      </c>
      <c r="AG19" s="134">
        <f t="shared" si="18"/>
        <v>25</v>
      </c>
      <c r="AH19" s="134">
        <f t="shared" si="18"/>
        <v>76</v>
      </c>
      <c r="AI19" s="134">
        <f t="shared" si="18"/>
        <v>83</v>
      </c>
      <c r="AJ19" s="134">
        <f t="shared" si="18"/>
        <v>18</v>
      </c>
      <c r="AK19" s="134">
        <f t="shared" si="18"/>
        <v>0</v>
      </c>
      <c r="AL19" s="134">
        <f t="shared" si="18"/>
        <v>1</v>
      </c>
      <c r="AM19" s="134">
        <f t="shared" si="18"/>
        <v>1</v>
      </c>
      <c r="AN19" s="213">
        <f t="shared" si="18"/>
        <v>0</v>
      </c>
      <c r="AO19" s="214">
        <v>3</v>
      </c>
      <c r="AP19" s="214">
        <v>2</v>
      </c>
      <c r="AQ19" s="214">
        <v>2</v>
      </c>
      <c r="AR19" s="214">
        <v>2</v>
      </c>
      <c r="AS19" s="156">
        <f t="shared" si="18"/>
        <v>0</v>
      </c>
      <c r="AT19" s="156">
        <f t="shared" si="18"/>
        <v>0</v>
      </c>
      <c r="AU19" s="214"/>
      <c r="AV19" s="215"/>
      <c r="AW19" s="214"/>
      <c r="AX19" s="215"/>
      <c r="AY19" s="133">
        <f>SUBTOTAL(9,AY9:AY18)</f>
        <v>756</v>
      </c>
      <c r="AZ19" s="134">
        <f>SUBTOTAL(9,AZ9:AZ18)</f>
        <v>1976</v>
      </c>
      <c r="BA19" s="134">
        <f>SUBTOTAL(9,BA9:BA18)</f>
        <v>1980</v>
      </c>
      <c r="BB19" s="134">
        <f>SUBTOTAL(9,BB9:BB18)</f>
        <v>737</v>
      </c>
      <c r="BC19" s="135">
        <f>SUBTOTAL(9,BC9:BC18)</f>
        <v>597</v>
      </c>
      <c r="BD19" s="216">
        <f>IF(ISNUMBER(BA19/AZ19),BA19/AZ19," - ")</f>
        <v>1.0020242914979758</v>
      </c>
      <c r="BE19" s="213">
        <f>IF(ISNUMBER(BB19/BA19),BB19/BA19, " - ")</f>
        <v>0.37222222222222223</v>
      </c>
      <c r="BF19" s="213">
        <f>IF(ISNUMBER(BC19/BA19),BC19/BA19, " - ")</f>
        <v>0.30151515151515151</v>
      </c>
      <c r="BG19" s="135">
        <f>IF(ISNUMBER((AY19+AZ19)/BA19),(AY19+AZ19)/BA19," - ")</f>
        <v>1.3797979797979798</v>
      </c>
      <c r="BH19" s="214">
        <f>SUBTOTAL(9,BH9:BH18)</f>
        <v>6</v>
      </c>
      <c r="BI19" s="214">
        <v>0</v>
      </c>
      <c r="BJ19" s="214"/>
      <c r="BK19" s="214">
        <f>SUBTOTAL(9,BK9:BK18)</f>
        <v>0</v>
      </c>
      <c r="BL19" s="214"/>
      <c r="BM19" s="214">
        <f>AVERAGE(BM9:BM18)</f>
        <v>1913.8888888888889</v>
      </c>
      <c r="BN19" s="214"/>
      <c r="BO19" s="214"/>
      <c r="BP19" s="214"/>
      <c r="BQ19" s="214"/>
      <c r="BR19" s="214"/>
      <c r="BS19" s="214"/>
      <c r="BT19" s="214"/>
      <c r="BU19" s="214"/>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f>SUBTOTAL(9,CN9:CN18)</f>
        <v>9073.75</v>
      </c>
      <c r="CO19" s="214">
        <f>SUBTOTAL(9,CO9:CO18)</f>
        <v>17030</v>
      </c>
      <c r="CP19" s="214">
        <f>SUBTOTAL(9,CP9:CP18)</f>
        <v>9073.75</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N19" si="19">SUBTOTAL(9,DM9:DM18)</f>
        <v>0</v>
      </c>
      <c r="DN19" s="156">
        <f t="shared" si="19"/>
        <v>0</v>
      </c>
      <c r="DO19" s="156">
        <f t="shared" si="19"/>
        <v>0</v>
      </c>
      <c r="DP19" s="156">
        <f t="shared" si="19"/>
        <v>0</v>
      </c>
      <c r="DQ19" s="156">
        <f t="shared" si="19"/>
        <v>0</v>
      </c>
      <c r="DR19" s="156">
        <f t="shared" si="19"/>
        <v>0</v>
      </c>
      <c r="DS19" s="156">
        <f t="shared" si="19"/>
        <v>0</v>
      </c>
      <c r="DT19" s="156">
        <f t="shared" si="19"/>
        <v>0</v>
      </c>
      <c r="DU19" s="156">
        <f t="shared" si="19"/>
        <v>0</v>
      </c>
      <c r="DV19" s="156">
        <f t="shared" si="19"/>
        <v>0</v>
      </c>
      <c r="DW19" s="156">
        <f t="shared" si="19"/>
        <v>0</v>
      </c>
      <c r="DX19" s="156">
        <f t="shared" si="19"/>
        <v>0</v>
      </c>
      <c r="DY19" s="156">
        <f t="shared" si="19"/>
        <v>0</v>
      </c>
      <c r="DZ19" s="156">
        <f t="shared" si="19"/>
        <v>0</v>
      </c>
      <c r="EA19" s="156">
        <f t="shared" si="19"/>
        <v>0</v>
      </c>
      <c r="EB19" s="156">
        <f t="shared" si="19"/>
        <v>0</v>
      </c>
      <c r="EC19" s="156">
        <f t="shared" si="19"/>
        <v>0</v>
      </c>
      <c r="ED19" s="156">
        <f t="shared" si="19"/>
        <v>0</v>
      </c>
      <c r="EE19" s="156">
        <f t="shared" si="19"/>
        <v>0</v>
      </c>
      <c r="EF19" s="156">
        <f t="shared" si="19"/>
        <v>0</v>
      </c>
      <c r="EG19" s="156">
        <f t="shared" si="19"/>
        <v>0</v>
      </c>
      <c r="EH19" s="156">
        <f t="shared" si="19"/>
        <v>0</v>
      </c>
      <c r="EI19" s="156">
        <f t="shared" si="19"/>
        <v>0</v>
      </c>
      <c r="EJ19" s="156">
        <f t="shared" si="19"/>
        <v>0</v>
      </c>
      <c r="EK19" s="156">
        <f t="shared" si="19"/>
        <v>0</v>
      </c>
      <c r="EL19" s="156">
        <f t="shared" si="19"/>
        <v>0</v>
      </c>
      <c r="EM19" s="156">
        <f t="shared" si="19"/>
        <v>0</v>
      </c>
      <c r="EN19" s="156">
        <f t="shared" si="19"/>
        <v>0</v>
      </c>
      <c r="EO19" s="331"/>
      <c r="EP19" s="156">
        <f>SUBTOTAL(9,EP9:EP18)</f>
        <v>0</v>
      </c>
      <c r="EQ19" s="156">
        <f>SUBTOTAL(9,EQ9:EQ18)</f>
        <v>0</v>
      </c>
      <c r="ER19" s="154">
        <f>AVERAGE(ER9:ER18)</f>
        <v>1517.762962962963</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lLt2WxaeWBi078DPT1OcO7PkHNrCWwuFusg2/EsDaMZKxAiaN19407AjII9hATjljpkD+kwt6/TjkaVAS8OvUQ==" saltValue="/4+ot57MHZHq5jO6beRPVQ=="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1" activePane="topRight" state="frozen"/>
      <selection pane="topRight" activeCell="Y9" sqref="Y9:AB14"/>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3"/>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85" t="s">
        <v>273</v>
      </c>
      <c r="CF4" s="1386"/>
      <c r="CG4" s="1386"/>
      <c r="CH4" s="1387"/>
    </row>
    <row r="5" spans="1:155" ht="12.75" customHeight="1" thickBot="1">
      <c r="A5" s="1415" t="str">
        <f>"Año:  " &amp;Criterios!B5 &amp; "                  Trimestre   " &amp;Criterios!D5 &amp; " al " &amp;Criterios!D6</f>
        <v>Año:  2023                  Trimestre   1 al 4</v>
      </c>
      <c r="B5" s="1417" t="s">
        <v>399</v>
      </c>
      <c r="C5" s="1420" t="s">
        <v>33</v>
      </c>
      <c r="D5" s="1426" t="s">
        <v>24</v>
      </c>
      <c r="E5" s="1427"/>
      <c r="F5" s="1427"/>
      <c r="G5" s="1427"/>
      <c r="H5" s="1428"/>
      <c r="I5" s="1432" t="s">
        <v>52</v>
      </c>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c r="AL5" s="1433"/>
      <c r="AM5" s="1433"/>
      <c r="AN5" s="1433"/>
      <c r="AO5" s="1391" t="s">
        <v>131</v>
      </c>
      <c r="AP5" s="1391" t="s">
        <v>132</v>
      </c>
      <c r="AQ5" s="1391" t="s">
        <v>89</v>
      </c>
      <c r="AR5" s="1391" t="s">
        <v>133</v>
      </c>
      <c r="AS5" s="1403" t="s">
        <v>154</v>
      </c>
      <c r="AT5" s="1403" t="s">
        <v>155</v>
      </c>
      <c r="AU5" s="1403" t="s">
        <v>238</v>
      </c>
      <c r="AV5" s="1403" t="s">
        <v>236</v>
      </c>
      <c r="AW5" s="1403" t="s">
        <v>239</v>
      </c>
      <c r="AX5" s="1403" t="s">
        <v>237</v>
      </c>
      <c r="AY5" s="1397" t="s">
        <v>108</v>
      </c>
      <c r="AZ5" s="1451"/>
      <c r="BA5" s="1451"/>
      <c r="BB5" s="1451"/>
      <c r="BC5" s="1452"/>
      <c r="BD5" s="1397" t="s">
        <v>109</v>
      </c>
      <c r="BE5" s="1398"/>
      <c r="BF5" s="1398"/>
      <c r="BG5" s="1399"/>
      <c r="BH5" s="1391" t="s">
        <v>147</v>
      </c>
      <c r="BI5" s="1391" t="s">
        <v>148</v>
      </c>
      <c r="BJ5" s="1448" t="s">
        <v>211</v>
      </c>
      <c r="BK5" s="1408" t="s">
        <v>214</v>
      </c>
      <c r="BL5" s="1408" t="s">
        <v>221</v>
      </c>
      <c r="BM5" s="1445" t="s">
        <v>387</v>
      </c>
      <c r="BN5" s="1238"/>
      <c r="BO5" s="1239"/>
      <c r="BP5" s="1238"/>
      <c r="BQ5" s="1239"/>
      <c r="BR5" s="1238"/>
      <c r="BS5" s="1239"/>
      <c r="BT5" s="1238"/>
      <c r="BU5" s="1239"/>
      <c r="BV5" s="1405" t="s">
        <v>272</v>
      </c>
      <c r="BW5" s="1474" t="s">
        <v>252</v>
      </c>
      <c r="BX5" s="1474" t="s">
        <v>253</v>
      </c>
      <c r="BY5" s="1394" t="s">
        <v>259</v>
      </c>
      <c r="BZ5" s="1394" t="s">
        <v>349</v>
      </c>
      <c r="CA5" s="1414" t="s">
        <v>288</v>
      </c>
      <c r="CB5" s="1414" t="s">
        <v>279</v>
      </c>
      <c r="CC5" s="1414" t="s">
        <v>280</v>
      </c>
      <c r="CD5" s="1414" t="s">
        <v>281</v>
      </c>
      <c r="CE5" s="1388" t="s">
        <v>292</v>
      </c>
      <c r="CF5" s="1388" t="s">
        <v>271</v>
      </c>
      <c r="CG5" s="1388" t="s">
        <v>269</v>
      </c>
      <c r="CH5" s="1388" t="s">
        <v>270</v>
      </c>
      <c r="CI5" s="1462" t="s">
        <v>294</v>
      </c>
      <c r="CJ5" s="1462" t="s">
        <v>295</v>
      </c>
      <c r="CK5" s="1375" t="s">
        <v>456</v>
      </c>
      <c r="CL5" s="1375" t="s">
        <v>457</v>
      </c>
      <c r="CM5" s="1375" t="s">
        <v>458</v>
      </c>
      <c r="CN5" s="1456" t="s">
        <v>370</v>
      </c>
      <c r="CO5" s="1456" t="s">
        <v>363</v>
      </c>
      <c r="CP5" s="1456" t="s">
        <v>369</v>
      </c>
      <c r="CQ5" s="1471" t="s">
        <v>368</v>
      </c>
      <c r="CR5" s="1471" t="s">
        <v>42</v>
      </c>
      <c r="CS5" s="1388" t="s">
        <v>388</v>
      </c>
      <c r="CT5" s="1388" t="s">
        <v>391</v>
      </c>
      <c r="CU5" s="1388" t="s">
        <v>229</v>
      </c>
      <c r="CV5" s="1388" t="s">
        <v>313</v>
      </c>
      <c r="CW5" s="1388" t="s">
        <v>333</v>
      </c>
      <c r="CX5" s="1388" t="s">
        <v>340</v>
      </c>
      <c r="CY5" s="1388" t="s">
        <v>436</v>
      </c>
      <c r="CZ5" s="1388" t="s">
        <v>437</v>
      </c>
      <c r="DA5" s="1388" t="s">
        <v>438</v>
      </c>
      <c r="DB5" s="1363" t="s">
        <v>195</v>
      </c>
      <c r="DC5" s="1363" t="s">
        <v>196</v>
      </c>
      <c r="DD5" s="1363" t="s">
        <v>197</v>
      </c>
      <c r="DE5" s="1379" t="s">
        <v>168</v>
      </c>
      <c r="DF5" s="1379" t="s">
        <v>407</v>
      </c>
      <c r="DG5" s="1388" t="s">
        <v>444</v>
      </c>
      <c r="DH5" s="1375" t="s">
        <v>425</v>
      </c>
      <c r="DI5" s="1375" t="s">
        <v>426</v>
      </c>
      <c r="DJ5" s="1375" t="s">
        <v>442</v>
      </c>
      <c r="DK5" s="1375" t="s">
        <v>476</v>
      </c>
      <c r="DL5" s="1375" t="s">
        <v>479</v>
      </c>
      <c r="DM5" s="1378" t="s">
        <v>530</v>
      </c>
      <c r="DN5" s="1378" t="s">
        <v>531</v>
      </c>
      <c r="DO5" s="1378" t="s">
        <v>532</v>
      </c>
      <c r="DP5" s="1378" t="s">
        <v>533</v>
      </c>
      <c r="DQ5" s="1378" t="s">
        <v>534</v>
      </c>
      <c r="DR5" s="1378" t="s">
        <v>535</v>
      </c>
      <c r="DS5" s="1378" t="s">
        <v>536</v>
      </c>
      <c r="DT5" s="1378" t="s">
        <v>537</v>
      </c>
      <c r="DU5" s="1357" t="s">
        <v>538</v>
      </c>
      <c r="DV5" s="1357" t="s">
        <v>539</v>
      </c>
      <c r="DW5" s="1354" t="s">
        <v>540</v>
      </c>
      <c r="DX5" s="1378" t="s">
        <v>541</v>
      </c>
      <c r="DY5" s="1351" t="s">
        <v>542</v>
      </c>
      <c r="DZ5" s="1354" t="s">
        <v>543</v>
      </c>
      <c r="EA5" s="1351" t="s">
        <v>544</v>
      </c>
      <c r="EB5" s="1382" t="s">
        <v>588</v>
      </c>
      <c r="EC5" s="1382" t="s">
        <v>620</v>
      </c>
      <c r="ED5" s="1382" t="s">
        <v>590</v>
      </c>
      <c r="EE5" s="1382" t="s">
        <v>623</v>
      </c>
      <c r="EF5" s="1382" t="s">
        <v>624</v>
      </c>
      <c r="EG5" s="1351" t="s">
        <v>625</v>
      </c>
      <c r="EH5" s="1351" t="s">
        <v>626</v>
      </c>
      <c r="EI5" s="1351" t="s">
        <v>592</v>
      </c>
      <c r="EJ5" s="1351" t="s">
        <v>593</v>
      </c>
      <c r="EK5" s="1477" t="s">
        <v>670</v>
      </c>
      <c r="EL5" s="1369" t="s">
        <v>686</v>
      </c>
      <c r="EM5" s="1370"/>
      <c r="EN5" s="1371"/>
      <c r="EO5" s="1363" t="s">
        <v>744</v>
      </c>
      <c r="EP5" s="1363" t="s">
        <v>746</v>
      </c>
      <c r="EQ5" s="1363" t="s">
        <v>747</v>
      </c>
      <c r="ER5" s="1363" t="s">
        <v>752</v>
      </c>
      <c r="ES5" s="1363" t="s">
        <v>757</v>
      </c>
      <c r="ET5" s="1360" t="s">
        <v>821</v>
      </c>
      <c r="EU5" s="1360" t="s">
        <v>822</v>
      </c>
      <c r="EV5" s="1388" t="s">
        <v>838</v>
      </c>
      <c r="EW5" s="1351" t="s">
        <v>841</v>
      </c>
      <c r="EX5" s="1465" t="s">
        <v>860</v>
      </c>
      <c r="EY5" s="1459" t="s">
        <v>865</v>
      </c>
    </row>
    <row r="6" spans="1:155" ht="24.75" customHeight="1" thickBot="1">
      <c r="A6" s="1416"/>
      <c r="B6" s="1418"/>
      <c r="C6" s="1421"/>
      <c r="D6" s="1429"/>
      <c r="E6" s="1430"/>
      <c r="F6" s="1430"/>
      <c r="G6" s="1430"/>
      <c r="H6" s="1431"/>
      <c r="I6" s="1434" t="s">
        <v>5</v>
      </c>
      <c r="J6" s="1435"/>
      <c r="K6" s="1435"/>
      <c r="L6" s="1435"/>
      <c r="M6" s="1435"/>
      <c r="N6" s="1435"/>
      <c r="O6" s="1436"/>
      <c r="P6" s="1423" t="s">
        <v>15</v>
      </c>
      <c r="Q6" s="1424"/>
      <c r="R6" s="1425"/>
      <c r="S6" s="1434" t="s">
        <v>107</v>
      </c>
      <c r="T6" s="1435"/>
      <c r="U6" s="1435"/>
      <c r="V6" s="1435"/>
      <c r="W6" s="1437"/>
      <c r="X6" s="1438"/>
      <c r="Y6" s="1439" t="s">
        <v>30</v>
      </c>
      <c r="Z6" s="1440"/>
      <c r="AA6" s="1440"/>
      <c r="AB6" s="1441"/>
      <c r="AC6" s="1439" t="s">
        <v>31</v>
      </c>
      <c r="AD6" s="1440"/>
      <c r="AE6" s="1440"/>
      <c r="AF6" s="1444"/>
      <c r="AG6" s="1423" t="s">
        <v>53</v>
      </c>
      <c r="AH6" s="1424"/>
      <c r="AI6" s="1424"/>
      <c r="AJ6" s="1425"/>
      <c r="AK6" s="1442" t="s">
        <v>54</v>
      </c>
      <c r="AL6" s="1424"/>
      <c r="AM6" s="1424"/>
      <c r="AN6" s="1443"/>
      <c r="AO6" s="1392"/>
      <c r="AP6" s="1392"/>
      <c r="AQ6" s="1392"/>
      <c r="AR6" s="1392"/>
      <c r="AS6" s="1364"/>
      <c r="AT6" s="1364"/>
      <c r="AU6" s="1364"/>
      <c r="AV6" s="1364"/>
      <c r="AW6" s="1364"/>
      <c r="AX6" s="1364"/>
      <c r="AY6" s="1453"/>
      <c r="AZ6" s="1454"/>
      <c r="BA6" s="1454"/>
      <c r="BB6" s="1454"/>
      <c r="BC6" s="1455"/>
      <c r="BD6" s="1400"/>
      <c r="BE6" s="1401"/>
      <c r="BF6" s="1401"/>
      <c r="BG6" s="1402"/>
      <c r="BH6" s="1392"/>
      <c r="BI6" s="1392"/>
      <c r="BJ6" s="1449"/>
      <c r="BK6" s="1409"/>
      <c r="BL6" s="1409"/>
      <c r="BM6" s="1446"/>
      <c r="BN6" s="1236"/>
      <c r="BO6" s="1236"/>
      <c r="BP6" s="1236"/>
      <c r="BQ6" s="1236"/>
      <c r="BR6" s="1236"/>
      <c r="BS6" s="1236"/>
      <c r="BT6" s="1236"/>
      <c r="BU6" s="1236"/>
      <c r="BV6" s="1406"/>
      <c r="BW6" s="1475"/>
      <c r="BX6" s="1475"/>
      <c r="BY6" s="1395"/>
      <c r="BZ6" s="1395"/>
      <c r="CA6" s="1389"/>
      <c r="CB6" s="1389"/>
      <c r="CC6" s="1389"/>
      <c r="CD6" s="1389"/>
      <c r="CE6" s="1389"/>
      <c r="CF6" s="1389"/>
      <c r="CG6" s="1389"/>
      <c r="CH6" s="1389"/>
      <c r="CI6" s="1463"/>
      <c r="CJ6" s="1463"/>
      <c r="CK6" s="1376"/>
      <c r="CL6" s="1376"/>
      <c r="CM6" s="1376"/>
      <c r="CN6" s="1457"/>
      <c r="CO6" s="1457"/>
      <c r="CP6" s="1457"/>
      <c r="CQ6" s="1472"/>
      <c r="CR6" s="1472"/>
      <c r="CS6" s="1389"/>
      <c r="CT6" s="1389"/>
      <c r="CU6" s="1389"/>
      <c r="CV6" s="1389"/>
      <c r="CW6" s="1389"/>
      <c r="CX6" s="1389"/>
      <c r="CY6" s="1389"/>
      <c r="CZ6" s="1389"/>
      <c r="DA6" s="1389"/>
      <c r="DB6" s="1364"/>
      <c r="DC6" s="1364"/>
      <c r="DD6" s="1364"/>
      <c r="DE6" s="1380"/>
      <c r="DF6" s="1380"/>
      <c r="DG6" s="1389"/>
      <c r="DH6" s="1376"/>
      <c r="DI6" s="1376"/>
      <c r="DJ6" s="1376"/>
      <c r="DK6" s="1376"/>
      <c r="DL6" s="1376"/>
      <c r="DM6" s="1285"/>
      <c r="DN6" s="1285"/>
      <c r="DO6" s="1285"/>
      <c r="DP6" s="1285"/>
      <c r="DQ6" s="1285"/>
      <c r="DR6" s="1285"/>
      <c r="DS6" s="1285"/>
      <c r="DT6" s="1285"/>
      <c r="DU6" s="1358"/>
      <c r="DV6" s="1358"/>
      <c r="DW6" s="1355"/>
      <c r="DX6" s="1285"/>
      <c r="DY6" s="1352"/>
      <c r="DZ6" s="1355"/>
      <c r="EA6" s="1352"/>
      <c r="EB6" s="1383"/>
      <c r="EC6" s="1383"/>
      <c r="ED6" s="1383"/>
      <c r="EE6" s="1383"/>
      <c r="EF6" s="1383"/>
      <c r="EG6" s="1352"/>
      <c r="EH6" s="1352"/>
      <c r="EI6" s="1352"/>
      <c r="EJ6" s="1352"/>
      <c r="EK6" s="1478"/>
      <c r="EL6" s="1372"/>
      <c r="EM6" s="1373"/>
      <c r="EN6" s="1374"/>
      <c r="EO6" s="1364"/>
      <c r="EP6" s="1364"/>
      <c r="EQ6" s="1364"/>
      <c r="ER6" s="1364"/>
      <c r="ES6" s="1364"/>
      <c r="ET6" s="1361"/>
      <c r="EU6" s="1361"/>
      <c r="EV6" s="1389"/>
      <c r="EW6" s="1352"/>
      <c r="EX6" s="1466"/>
      <c r="EY6" s="1460"/>
    </row>
    <row r="7" spans="1:155" ht="87" customHeight="1" thickBot="1">
      <c r="A7" s="69" t="s">
        <v>743</v>
      </c>
      <c r="B7" s="1419"/>
      <c r="C7" s="1422"/>
      <c r="D7" s="66" t="s">
        <v>400</v>
      </c>
      <c r="E7" s="67" t="s">
        <v>126</v>
      </c>
      <c r="F7" s="67" t="s">
        <v>125</v>
      </c>
      <c r="G7" s="121" t="s">
        <v>35</v>
      </c>
      <c r="H7" s="122" t="s">
        <v>401</v>
      </c>
      <c r="I7" s="9" t="s">
        <v>375</v>
      </c>
      <c r="J7" s="10" t="s">
        <v>13</v>
      </c>
      <c r="K7" s="10" t="s">
        <v>9</v>
      </c>
      <c r="L7" s="11" t="s">
        <v>19</v>
      </c>
      <c r="M7" s="9" t="s">
        <v>7</v>
      </c>
      <c r="N7" s="10" t="s">
        <v>8</v>
      </c>
      <c r="O7" s="162"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3"/>
      <c r="AP7" s="1393"/>
      <c r="AQ7" s="1393"/>
      <c r="AR7" s="1393"/>
      <c r="AS7" s="1365"/>
      <c r="AT7" s="1404"/>
      <c r="AU7" s="1404"/>
      <c r="AV7" s="1404"/>
      <c r="AW7" s="1404"/>
      <c r="AX7" s="1404"/>
      <c r="AY7" s="97" t="s">
        <v>18</v>
      </c>
      <c r="AZ7" s="98" t="s">
        <v>13</v>
      </c>
      <c r="BA7" s="98" t="s">
        <v>9</v>
      </c>
      <c r="BB7" s="98" t="s">
        <v>23</v>
      </c>
      <c r="BC7" s="99" t="s">
        <v>7</v>
      </c>
      <c r="BD7" s="97" t="s">
        <v>9</v>
      </c>
      <c r="BE7" s="98" t="s">
        <v>17</v>
      </c>
      <c r="BF7" s="98" t="s">
        <v>97</v>
      </c>
      <c r="BG7" s="99" t="s">
        <v>98</v>
      </c>
      <c r="BH7" s="1393"/>
      <c r="BI7" s="1393"/>
      <c r="BJ7" s="1450"/>
      <c r="BK7" s="1410"/>
      <c r="BL7" s="1410"/>
      <c r="BM7" s="1447"/>
      <c r="BN7" s="1237"/>
      <c r="BO7" s="1237"/>
      <c r="BP7" s="1237"/>
      <c r="BQ7" s="1237"/>
      <c r="BR7" s="1237"/>
      <c r="BS7" s="1237"/>
      <c r="BT7" s="1237"/>
      <c r="BU7" s="1237"/>
      <c r="BV7" s="1407"/>
      <c r="BW7" s="1476"/>
      <c r="BX7" s="1476"/>
      <c r="BY7" s="1396"/>
      <c r="BZ7" s="1396"/>
      <c r="CA7" s="1390"/>
      <c r="CB7" s="1390"/>
      <c r="CC7" s="1390"/>
      <c r="CD7" s="1390"/>
      <c r="CE7" s="1390"/>
      <c r="CF7" s="1390"/>
      <c r="CG7" s="1390"/>
      <c r="CH7" s="1390"/>
      <c r="CI7" s="1464"/>
      <c r="CJ7" s="1464"/>
      <c r="CK7" s="1377"/>
      <c r="CL7" s="1377"/>
      <c r="CM7" s="1377"/>
      <c r="CN7" s="1458"/>
      <c r="CO7" s="1458"/>
      <c r="CP7" s="1458"/>
      <c r="CQ7" s="1473"/>
      <c r="CR7" s="1473"/>
      <c r="CS7" s="1390"/>
      <c r="CT7" s="1390"/>
      <c r="CU7" s="1390"/>
      <c r="CV7" s="1390"/>
      <c r="CW7" s="1390"/>
      <c r="CX7" s="1390"/>
      <c r="CY7" s="1390"/>
      <c r="CZ7" s="1390"/>
      <c r="DA7" s="1390"/>
      <c r="DB7" s="1365"/>
      <c r="DC7" s="1365"/>
      <c r="DD7" s="1365"/>
      <c r="DE7" s="1381"/>
      <c r="DF7" s="1381"/>
      <c r="DG7" s="1390"/>
      <c r="DH7" s="1377"/>
      <c r="DI7" s="1377"/>
      <c r="DJ7" s="1377"/>
      <c r="DK7" s="1377"/>
      <c r="DL7" s="1377"/>
      <c r="DM7" s="1286"/>
      <c r="DN7" s="1286"/>
      <c r="DO7" s="1286"/>
      <c r="DP7" s="1286"/>
      <c r="DQ7" s="1286"/>
      <c r="DR7" s="1286"/>
      <c r="DS7" s="1286"/>
      <c r="DT7" s="1286"/>
      <c r="DU7" s="1359"/>
      <c r="DV7" s="1359"/>
      <c r="DW7" s="1356"/>
      <c r="DX7" s="1286"/>
      <c r="DY7" s="1353"/>
      <c r="DZ7" s="1356"/>
      <c r="EA7" s="1353"/>
      <c r="EB7" s="1384"/>
      <c r="EC7" s="1384"/>
      <c r="ED7" s="1384"/>
      <c r="EE7" s="1384"/>
      <c r="EF7" s="1384"/>
      <c r="EG7" s="1353"/>
      <c r="EH7" s="1353"/>
      <c r="EI7" s="1353"/>
      <c r="EJ7" s="1353"/>
      <c r="EK7" s="1479"/>
      <c r="EL7" s="642" t="s">
        <v>687</v>
      </c>
      <c r="EM7" s="642" t="s">
        <v>95</v>
      </c>
      <c r="EN7" s="642" t="s">
        <v>96</v>
      </c>
      <c r="EO7" s="1365"/>
      <c r="EP7" s="1365"/>
      <c r="EQ7" s="1365"/>
      <c r="ER7" s="1365"/>
      <c r="ES7" s="1365"/>
      <c r="ET7" s="1362"/>
      <c r="EU7" s="1362"/>
      <c r="EV7" s="1390"/>
      <c r="EW7" s="1353"/>
      <c r="EX7" s="1467"/>
      <c r="EY7" s="1461"/>
    </row>
    <row r="8" spans="1:155" ht="14.25" customHeight="1" thickBot="1">
      <c r="A8" s="70" t="s">
        <v>102</v>
      </c>
      <c r="B8" s="141" t="s">
        <v>402</v>
      </c>
      <c r="C8" s="142"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3" t="s">
        <v>455</v>
      </c>
      <c r="DK8" s="473" t="s">
        <v>477</v>
      </c>
      <c r="DL8" s="473" t="s">
        <v>478</v>
      </c>
      <c r="DM8" s="473" t="s">
        <v>545</v>
      </c>
      <c r="DN8" s="473" t="s">
        <v>546</v>
      </c>
      <c r="DO8" s="473" t="s">
        <v>547</v>
      </c>
      <c r="DP8" s="473" t="s">
        <v>548</v>
      </c>
      <c r="DQ8" s="473" t="s">
        <v>549</v>
      </c>
      <c r="DR8" s="473" t="s">
        <v>550</v>
      </c>
      <c r="DS8" s="473" t="s">
        <v>551</v>
      </c>
      <c r="DT8" s="473" t="s">
        <v>552</v>
      </c>
      <c r="DU8" s="473" t="s">
        <v>553</v>
      </c>
      <c r="DV8" s="473" t="s">
        <v>554</v>
      </c>
      <c r="DW8" s="473" t="s">
        <v>555</v>
      </c>
      <c r="DX8" s="473" t="s">
        <v>556</v>
      </c>
      <c r="DY8" s="473" t="s">
        <v>557</v>
      </c>
      <c r="DZ8" s="473" t="s">
        <v>558</v>
      </c>
      <c r="EA8" s="473" t="s">
        <v>559</v>
      </c>
      <c r="EB8" s="473" t="s">
        <v>600</v>
      </c>
      <c r="EC8" s="473" t="s">
        <v>601</v>
      </c>
      <c r="ED8" s="473" t="s">
        <v>602</v>
      </c>
      <c r="EE8" s="473" t="s">
        <v>603</v>
      </c>
      <c r="EF8" s="473" t="s">
        <v>604</v>
      </c>
      <c r="EG8" s="473" t="s">
        <v>605</v>
      </c>
      <c r="EH8" s="473" t="s">
        <v>606</v>
      </c>
      <c r="EI8" s="473" t="s">
        <v>607</v>
      </c>
      <c r="EJ8" s="473" t="s">
        <v>608</v>
      </c>
      <c r="EK8" s="473" t="s">
        <v>671</v>
      </c>
      <c r="EL8" s="473" t="s">
        <v>688</v>
      </c>
      <c r="EM8" s="473" t="s">
        <v>689</v>
      </c>
      <c r="EN8" s="473" t="s">
        <v>690</v>
      </c>
      <c r="EO8" s="50" t="s">
        <v>745</v>
      </c>
      <c r="EP8" s="50" t="s">
        <v>750</v>
      </c>
      <c r="EQ8" s="50" t="s">
        <v>751</v>
      </c>
      <c r="ER8" s="473">
        <v>148</v>
      </c>
      <c r="ES8" s="473" t="s">
        <v>758</v>
      </c>
      <c r="ET8" s="1144" t="s">
        <v>823</v>
      </c>
      <c r="EU8" s="1144" t="s">
        <v>824</v>
      </c>
      <c r="EV8" s="1144" t="s">
        <v>832</v>
      </c>
      <c r="EW8" s="473" t="s">
        <v>840</v>
      </c>
      <c r="EX8" s="473" t="s">
        <v>859</v>
      </c>
      <c r="EY8" s="473" t="s">
        <v>864</v>
      </c>
    </row>
    <row r="9" spans="1:155" ht="14.25" customHeight="1">
      <c r="A9" s="20" t="s">
        <v>45</v>
      </c>
      <c r="B9" s="21" t="s">
        <v>402</v>
      </c>
      <c r="C9" s="22" t="s">
        <v>3</v>
      </c>
      <c r="D9" s="23" t="s">
        <v>20</v>
      </c>
      <c r="E9" s="21" t="s">
        <v>21</v>
      </c>
      <c r="F9" s="21">
        <v>32</v>
      </c>
      <c r="G9" s="6"/>
      <c r="H9" s="136" t="s">
        <v>245</v>
      </c>
      <c r="I9" s="58" t="s">
        <v>894</v>
      </c>
      <c r="J9" s="57" t="s">
        <v>897</v>
      </c>
      <c r="K9" s="57" t="s">
        <v>900</v>
      </c>
      <c r="L9" s="57" t="s">
        <v>903</v>
      </c>
      <c r="M9" s="57" t="s">
        <v>863</v>
      </c>
      <c r="N9" s="57" t="s">
        <v>866</v>
      </c>
      <c r="O9" s="57" t="s">
        <v>323</v>
      </c>
      <c r="P9" s="57" t="s">
        <v>371</v>
      </c>
      <c r="Q9" s="57" t="s">
        <v>372</v>
      </c>
      <c r="R9" s="57" t="s">
        <v>373</v>
      </c>
      <c r="S9" s="57"/>
      <c r="T9" s="57"/>
      <c r="U9" s="57"/>
      <c r="V9" s="57"/>
      <c r="W9" s="57"/>
      <c r="X9" s="61"/>
      <c r="Y9" s="62" t="s">
        <v>892</v>
      </c>
      <c r="Z9" s="57" t="s">
        <v>890</v>
      </c>
      <c r="AA9" s="57" t="s">
        <v>893</v>
      </c>
      <c r="AB9" s="57" t="s">
        <v>891</v>
      </c>
      <c r="AC9" s="57"/>
      <c r="AD9" s="57"/>
      <c r="AE9" s="57"/>
      <c r="AF9" s="61"/>
      <c r="AG9" s="62"/>
      <c r="AH9" s="57"/>
      <c r="AI9" s="57"/>
      <c r="AJ9" s="63"/>
      <c r="AK9" s="58"/>
      <c r="AL9" s="57"/>
      <c r="AM9" s="57"/>
      <c r="AN9" s="61"/>
      <c r="AO9" s="64"/>
      <c r="AP9" s="64"/>
      <c r="AQ9" s="64"/>
      <c r="AR9" s="60"/>
      <c r="AS9" s="320" t="s">
        <v>872</v>
      </c>
      <c r="AT9" s="198"/>
      <c r="AU9" s="320" t="s">
        <v>810</v>
      </c>
      <c r="AV9" s="198"/>
      <c r="AW9" s="320" t="s">
        <v>813</v>
      </c>
      <c r="AX9" s="198"/>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9">
        <v>720</v>
      </c>
      <c r="BN9" s="157"/>
      <c r="BO9" s="157"/>
      <c r="BP9" s="157"/>
      <c r="BQ9" s="157"/>
      <c r="BR9" s="157"/>
      <c r="BS9" s="157"/>
      <c r="BT9" s="157"/>
      <c r="BU9" s="157"/>
      <c r="BV9" s="159" t="s">
        <v>499</v>
      </c>
      <c r="BW9" s="159" t="s">
        <v>303</v>
      </c>
      <c r="BX9" s="159" t="s">
        <v>304</v>
      </c>
      <c r="BY9" s="159" t="s">
        <v>879</v>
      </c>
      <c r="BZ9" s="159" t="s">
        <v>481</v>
      </c>
      <c r="CA9" s="159" t="s">
        <v>412</v>
      </c>
      <c r="CB9" s="159" t="s">
        <v>413</v>
      </c>
      <c r="CC9" s="159" t="s">
        <v>414</v>
      </c>
      <c r="CD9" s="159" t="s">
        <v>415</v>
      </c>
      <c r="CE9" s="159"/>
      <c r="CF9" s="159"/>
      <c r="CG9" s="159"/>
      <c r="CH9" s="159"/>
      <c r="CI9" s="159" t="s">
        <v>506</v>
      </c>
      <c r="CJ9" s="159" t="s">
        <v>416</v>
      </c>
      <c r="CK9" s="159" t="s">
        <v>493</v>
      </c>
      <c r="CL9" s="159" t="s">
        <v>495</v>
      </c>
      <c r="CM9" s="159" t="s">
        <v>497</v>
      </c>
      <c r="CN9" s="159">
        <v>1088</v>
      </c>
      <c r="CO9" s="159">
        <v>720</v>
      </c>
      <c r="CP9" s="159">
        <v>1088</v>
      </c>
      <c r="CQ9" s="292" t="s">
        <v>853</v>
      </c>
      <c r="CR9" s="292" t="s">
        <v>482</v>
      </c>
      <c r="CS9" s="159"/>
      <c r="CT9" s="159"/>
      <c r="CU9" s="159"/>
      <c r="CV9" s="159" t="s">
        <v>504</v>
      </c>
      <c r="CW9" s="159" t="s">
        <v>411</v>
      </c>
      <c r="CX9" s="159" t="s">
        <v>343</v>
      </c>
      <c r="CY9" s="159" t="s">
        <v>439</v>
      </c>
      <c r="CZ9" s="159" t="s">
        <v>440</v>
      </c>
      <c r="DA9" s="159" t="s">
        <v>441</v>
      </c>
      <c r="DB9" s="320" t="s">
        <v>873</v>
      </c>
      <c r="DC9" s="320" t="s">
        <v>874</v>
      </c>
      <c r="DD9" s="159"/>
      <c r="DE9" s="159" t="s">
        <v>241</v>
      </c>
      <c r="DF9" s="159"/>
      <c r="DG9" s="159" t="s">
        <v>445</v>
      </c>
      <c r="DH9" s="159" t="s">
        <v>501</v>
      </c>
      <c r="DI9" s="159" t="s">
        <v>502</v>
      </c>
      <c r="DJ9" s="159" t="s">
        <v>503</v>
      </c>
      <c r="DK9" s="159"/>
      <c r="DL9" s="159"/>
      <c r="DM9" s="159"/>
      <c r="DN9" s="159"/>
      <c r="DO9" s="159"/>
      <c r="DP9" s="159"/>
      <c r="DQ9" s="159"/>
      <c r="DR9" s="159"/>
      <c r="DS9" s="159"/>
      <c r="DT9" s="159"/>
      <c r="DU9" s="159" t="s">
        <v>677</v>
      </c>
      <c r="DV9" s="159" t="s">
        <v>672</v>
      </c>
      <c r="DW9" s="159" t="s">
        <v>673</v>
      </c>
      <c r="DX9" s="159" t="s">
        <v>674</v>
      </c>
      <c r="DY9" s="159" t="s">
        <v>675</v>
      </c>
      <c r="DZ9" s="159"/>
      <c r="EA9" s="159"/>
      <c r="EB9" s="159"/>
      <c r="EC9" s="159"/>
      <c r="ED9" s="159"/>
      <c r="EE9" s="159"/>
      <c r="EF9" s="159"/>
      <c r="EG9" s="159"/>
      <c r="EH9" s="159"/>
      <c r="EI9" s="159"/>
      <c r="EJ9" s="159"/>
      <c r="EK9" s="159"/>
      <c r="EL9" s="292" t="s">
        <v>797</v>
      </c>
      <c r="EM9" s="292" t="s">
        <v>798</v>
      </c>
      <c r="EN9" s="159" t="s">
        <v>796</v>
      </c>
      <c r="EO9" s="992" t="s">
        <v>875</v>
      </c>
      <c r="EP9" s="992" t="s">
        <v>882</v>
      </c>
      <c r="EQ9" s="992" t="s">
        <v>884</v>
      </c>
      <c r="ER9" s="1003">
        <v>1200</v>
      </c>
      <c r="ES9" s="1000"/>
      <c r="ET9" s="1145"/>
      <c r="EU9" s="1145"/>
      <c r="EV9" s="159" t="s">
        <v>835</v>
      </c>
      <c r="EW9" s="159"/>
      <c r="EX9" s="159"/>
      <c r="EY9" s="159"/>
    </row>
    <row r="10" spans="1:155" ht="14.25" customHeight="1">
      <c r="A10" s="137" t="s">
        <v>143</v>
      </c>
      <c r="B10" s="21" t="s">
        <v>402</v>
      </c>
      <c r="C10" s="22" t="s">
        <v>3</v>
      </c>
      <c r="D10" s="23" t="s">
        <v>82</v>
      </c>
      <c r="E10" s="21" t="s">
        <v>82</v>
      </c>
      <c r="F10" s="21" t="s">
        <v>138</v>
      </c>
      <c r="G10" s="6"/>
      <c r="H10" s="136"/>
      <c r="I10" s="183" t="s">
        <v>520</v>
      </c>
      <c r="J10" s="184" t="s">
        <v>518</v>
      </c>
      <c r="K10" s="184" t="s">
        <v>519</v>
      </c>
      <c r="L10" s="184" t="s">
        <v>524</v>
      </c>
      <c r="M10" s="57" t="s">
        <v>513</v>
      </c>
      <c r="N10" s="57" t="s">
        <v>139</v>
      </c>
      <c r="O10" s="57" t="s">
        <v>227</v>
      </c>
      <c r="P10" s="57" t="s">
        <v>140</v>
      </c>
      <c r="Q10" s="57" t="s">
        <v>141</v>
      </c>
      <c r="R10" s="57" t="s">
        <v>142</v>
      </c>
      <c r="S10" s="57"/>
      <c r="T10" s="57"/>
      <c r="U10" s="57"/>
      <c r="V10" s="57"/>
      <c r="W10" s="57"/>
      <c r="X10" s="61"/>
      <c r="Y10" s="138"/>
      <c r="Z10" s="139"/>
      <c r="AA10" s="140"/>
      <c r="AB10" s="139"/>
      <c r="AC10" s="57"/>
      <c r="AD10" s="57"/>
      <c r="AE10" s="57"/>
      <c r="AF10" s="61"/>
      <c r="AG10" s="62"/>
      <c r="AH10" s="57"/>
      <c r="AI10" s="57"/>
      <c r="AJ10" s="63"/>
      <c r="AK10" s="58"/>
      <c r="AL10" s="57"/>
      <c r="AM10" s="57"/>
      <c r="AN10" s="61"/>
      <c r="AO10" s="64"/>
      <c r="AP10" s="59"/>
      <c r="AQ10" s="64"/>
      <c r="AR10" s="59"/>
      <c r="AS10" s="151" t="s">
        <v>759</v>
      </c>
      <c r="AT10" s="63"/>
      <c r="AU10" s="151" t="s">
        <v>760</v>
      </c>
      <c r="AV10" s="63"/>
      <c r="AW10" s="151" t="s">
        <v>761</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52"/>
      <c r="BK10" s="64"/>
      <c r="BL10" s="64"/>
      <c r="BM10" s="157">
        <v>0</v>
      </c>
      <c r="BN10" s="157"/>
      <c r="BO10" s="157"/>
      <c r="BP10" s="157"/>
      <c r="BQ10" s="157"/>
      <c r="BR10" s="157"/>
      <c r="BS10" s="157"/>
      <c r="BT10" s="157"/>
      <c r="BU10" s="157"/>
      <c r="BV10" s="157" t="s">
        <v>310</v>
      </c>
      <c r="BW10" s="157" t="s">
        <v>347</v>
      </c>
      <c r="BX10" s="157" t="s">
        <v>348</v>
      </c>
      <c r="BY10" s="157" t="s">
        <v>762</v>
      </c>
      <c r="BZ10" s="157"/>
      <c r="CA10" s="157"/>
      <c r="CB10" s="157"/>
      <c r="CC10" s="157"/>
      <c r="CD10" s="157"/>
      <c r="CE10" s="157"/>
      <c r="CF10" s="157"/>
      <c r="CG10" s="157"/>
      <c r="CH10" s="157"/>
      <c r="CI10" s="157" t="s">
        <v>508</v>
      </c>
      <c r="CJ10" s="157" t="s">
        <v>300</v>
      </c>
      <c r="CK10" s="157" t="s">
        <v>459</v>
      </c>
      <c r="CL10" s="157" t="s">
        <v>460</v>
      </c>
      <c r="CM10" s="157" t="s">
        <v>461</v>
      </c>
      <c r="CN10" s="157">
        <v>1175</v>
      </c>
      <c r="CO10" s="157">
        <v>0</v>
      </c>
      <c r="CP10" s="292" t="s">
        <v>418</v>
      </c>
      <c r="CQ10" s="157" t="s">
        <v>763</v>
      </c>
      <c r="CR10" s="157"/>
      <c r="CS10" s="157"/>
      <c r="CT10" s="159"/>
      <c r="CU10" s="159"/>
      <c r="CV10" s="159" t="s">
        <v>315</v>
      </c>
      <c r="CW10" s="159" t="s">
        <v>339</v>
      </c>
      <c r="CX10" s="159" t="s">
        <v>342</v>
      </c>
      <c r="CY10" s="159" t="s">
        <v>509</v>
      </c>
      <c r="CZ10" s="159" t="s">
        <v>510</v>
      </c>
      <c r="DA10" s="159" t="s">
        <v>511</v>
      </c>
      <c r="DB10" s="323" t="s">
        <v>521</v>
      </c>
      <c r="DC10" s="322"/>
      <c r="DD10" s="159"/>
      <c r="DE10" s="159" t="s">
        <v>242</v>
      </c>
      <c r="DF10" s="159"/>
      <c r="DG10" s="159" t="s">
        <v>512</v>
      </c>
      <c r="DH10" s="157" t="s">
        <v>432</v>
      </c>
      <c r="DI10" s="157" t="s">
        <v>430</v>
      </c>
      <c r="DJ10" s="157" t="s">
        <v>431</v>
      </c>
      <c r="DK10" s="157"/>
      <c r="DL10" s="157"/>
      <c r="DM10" s="292"/>
      <c r="DN10" s="292"/>
      <c r="DO10" s="292"/>
      <c r="DP10" s="292"/>
      <c r="DQ10" s="292"/>
      <c r="DR10" s="292"/>
      <c r="DS10" s="292"/>
      <c r="DT10" s="292"/>
      <c r="DU10" s="158" t="s">
        <v>610</v>
      </c>
      <c r="DV10" s="292" t="s">
        <v>724</v>
      </c>
      <c r="DW10" s="292" t="s">
        <v>721</v>
      </c>
      <c r="DX10" s="292" t="s">
        <v>722</v>
      </c>
      <c r="DY10" s="292" t="s">
        <v>723</v>
      </c>
      <c r="DZ10" s="292"/>
      <c r="EA10" s="292"/>
      <c r="EB10" s="292"/>
      <c r="EC10" s="292"/>
      <c r="ED10" s="292"/>
      <c r="EE10" s="292"/>
      <c r="EF10" s="292"/>
      <c r="EG10" s="292"/>
      <c r="EH10" s="292"/>
      <c r="EI10" s="292"/>
      <c r="EJ10" s="292"/>
      <c r="EK10" s="292"/>
      <c r="EL10" s="292"/>
      <c r="EM10" s="292"/>
      <c r="EN10" s="292"/>
      <c r="EO10" s="323" t="s">
        <v>768</v>
      </c>
      <c r="EP10" s="323" t="s">
        <v>769</v>
      </c>
      <c r="EQ10" s="323" t="s">
        <v>770</v>
      </c>
      <c r="ER10" s="1004">
        <v>1600</v>
      </c>
      <c r="ES10" s="342"/>
      <c r="ET10" s="1145"/>
      <c r="EU10" s="1145"/>
      <c r="EV10" s="159" t="s">
        <v>837</v>
      </c>
      <c r="EW10" s="292"/>
      <c r="EX10" s="292"/>
      <c r="EY10" s="292"/>
    </row>
    <row r="11" spans="1:155" ht="14.25" customHeight="1" thickBot="1">
      <c r="A11" s="20" t="s">
        <v>403</v>
      </c>
      <c r="B11" s="21" t="s">
        <v>402</v>
      </c>
      <c r="C11" s="22" t="s">
        <v>3</v>
      </c>
      <c r="D11" s="23" t="s">
        <v>20</v>
      </c>
      <c r="E11" s="21" t="s">
        <v>51</v>
      </c>
      <c r="F11" s="21">
        <v>32</v>
      </c>
      <c r="G11" s="6"/>
      <c r="H11" s="28" t="s">
        <v>36</v>
      </c>
      <c r="I11" s="25" t="s">
        <v>895</v>
      </c>
      <c r="J11" s="26" t="s">
        <v>898</v>
      </c>
      <c r="K11" s="26" t="s">
        <v>901</v>
      </c>
      <c r="L11" s="26" t="s">
        <v>904</v>
      </c>
      <c r="M11" s="26" t="s">
        <v>490</v>
      </c>
      <c r="N11" s="26" t="s">
        <v>38</v>
      </c>
      <c r="O11" s="57" t="s">
        <v>224</v>
      </c>
      <c r="P11" s="26" t="s">
        <v>39</v>
      </c>
      <c r="Q11" s="26" t="s">
        <v>40</v>
      </c>
      <c r="R11" s="26" t="s">
        <v>91</v>
      </c>
      <c r="S11" s="26"/>
      <c r="T11" s="26"/>
      <c r="U11" s="26"/>
      <c r="V11" s="26"/>
      <c r="W11" s="26"/>
      <c r="X11" s="52"/>
      <c r="Y11" s="62" t="s">
        <v>892</v>
      </c>
      <c r="Z11" s="57" t="s">
        <v>906</v>
      </c>
      <c r="AA11" s="57" t="s">
        <v>893</v>
      </c>
      <c r="AB11" s="57" t="s">
        <v>891</v>
      </c>
      <c r="AC11" s="26"/>
      <c r="AD11" s="26"/>
      <c r="AE11" s="26"/>
      <c r="AF11" s="52"/>
      <c r="AG11" s="49"/>
      <c r="AH11" s="26"/>
      <c r="AI11" s="26"/>
      <c r="AJ11" s="27"/>
      <c r="AK11" s="25"/>
      <c r="AL11" s="26"/>
      <c r="AM11" s="26"/>
      <c r="AN11" s="52"/>
      <c r="AO11" s="59"/>
      <c r="AP11" s="59"/>
      <c r="AQ11" s="59"/>
      <c r="AR11" s="64"/>
      <c r="AS11" s="49" t="s">
        <v>805</v>
      </c>
      <c r="AT11" s="27"/>
      <c r="AU11" s="49" t="s">
        <v>811</v>
      </c>
      <c r="AV11" s="27"/>
      <c r="AW11" s="49" t="s">
        <v>814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60">
        <v>1000</v>
      </c>
      <c r="BN11" s="157"/>
      <c r="BO11" s="157"/>
      <c r="BP11" s="157"/>
      <c r="BQ11" s="157"/>
      <c r="BR11" s="157"/>
      <c r="BS11" s="157"/>
      <c r="BT11" s="157"/>
      <c r="BU11" s="157"/>
      <c r="BV11" s="159" t="s">
        <v>498</v>
      </c>
      <c r="BW11" s="159" t="s">
        <v>254</v>
      </c>
      <c r="BX11" s="159" t="s">
        <v>255</v>
      </c>
      <c r="BY11" s="160" t="s">
        <v>881</v>
      </c>
      <c r="BZ11" s="159" t="s">
        <v>742</v>
      </c>
      <c r="CA11" s="159" t="s">
        <v>290</v>
      </c>
      <c r="CB11" s="159" t="s">
        <v>285</v>
      </c>
      <c r="CC11" s="159" t="s">
        <v>286</v>
      </c>
      <c r="CD11" s="159" t="s">
        <v>287</v>
      </c>
      <c r="CE11" s="160"/>
      <c r="CF11" s="160"/>
      <c r="CG11" s="160"/>
      <c r="CH11" s="160"/>
      <c r="CI11" s="160" t="s">
        <v>483</v>
      </c>
      <c r="CJ11" s="160" t="s">
        <v>298</v>
      </c>
      <c r="CK11" s="159" t="s">
        <v>492</v>
      </c>
      <c r="CL11" s="159" t="s">
        <v>494</v>
      </c>
      <c r="CM11" s="159" t="s">
        <v>496</v>
      </c>
      <c r="CN11" s="159">
        <v>1088</v>
      </c>
      <c r="CO11" s="160">
        <v>1000</v>
      </c>
      <c r="CP11" s="159">
        <v>1088</v>
      </c>
      <c r="CQ11" s="159" t="s">
        <v>856</v>
      </c>
      <c r="CR11" s="159" t="s">
        <v>855</v>
      </c>
      <c r="CS11" s="160"/>
      <c r="CT11" s="159"/>
      <c r="CU11" s="159"/>
      <c r="CV11" s="159" t="s">
        <v>504</v>
      </c>
      <c r="CW11" s="159" t="s">
        <v>336</v>
      </c>
      <c r="CX11" s="159" t="s">
        <v>343</v>
      </c>
      <c r="CY11" s="159" t="s">
        <v>439</v>
      </c>
      <c r="CZ11" s="159" t="s">
        <v>440</v>
      </c>
      <c r="DA11" s="159" t="s">
        <v>441</v>
      </c>
      <c r="DB11" s="150" t="s">
        <v>867</v>
      </c>
      <c r="DC11" s="150" t="s">
        <v>868</v>
      </c>
      <c r="DD11" s="159"/>
      <c r="DE11" s="159" t="s">
        <v>243</v>
      </c>
      <c r="DF11" s="159"/>
      <c r="DG11" s="159" t="s">
        <v>445</v>
      </c>
      <c r="DH11" s="159" t="s">
        <v>501</v>
      </c>
      <c r="DI11" s="159" t="s">
        <v>502</v>
      </c>
      <c r="DJ11" s="159" t="s">
        <v>503</v>
      </c>
      <c r="DK11" s="159"/>
      <c r="DL11" s="159"/>
      <c r="DM11" s="292"/>
      <c r="DN11" s="292"/>
      <c r="DO11" s="292"/>
      <c r="DP11" s="292"/>
      <c r="DQ11" s="292"/>
      <c r="DR11" s="292"/>
      <c r="DS11" s="292"/>
      <c r="DT11" s="292"/>
      <c r="DU11" s="292" t="s">
        <v>677</v>
      </c>
      <c r="DV11" s="292" t="s">
        <v>672</v>
      </c>
      <c r="DW11" s="292" t="s">
        <v>673</v>
      </c>
      <c r="DX11" s="292" t="s">
        <v>674</v>
      </c>
      <c r="DY11" s="292" t="s">
        <v>675</v>
      </c>
      <c r="DZ11" s="292"/>
      <c r="EA11" s="292"/>
      <c r="EB11" s="292"/>
      <c r="EC11" s="292"/>
      <c r="ED11" s="292"/>
      <c r="EE11" s="292"/>
      <c r="EF11" s="292"/>
      <c r="EG11" s="292"/>
      <c r="EH11" s="292"/>
      <c r="EI11" s="292"/>
      <c r="EJ11" s="292"/>
      <c r="EK11" s="292"/>
      <c r="EL11" s="292"/>
      <c r="EM11" s="292"/>
      <c r="EN11" s="292"/>
      <c r="EO11" s="991" t="s">
        <v>876</v>
      </c>
      <c r="EP11" s="991" t="s">
        <v>857</v>
      </c>
      <c r="EQ11" s="991" t="s">
        <v>858</v>
      </c>
      <c r="ER11" s="1005">
        <v>1323</v>
      </c>
      <c r="ES11" s="1001"/>
      <c r="ET11" s="1145"/>
      <c r="EU11" s="1145"/>
      <c r="EV11" s="159" t="s">
        <v>834</v>
      </c>
      <c r="EW11" s="292"/>
      <c r="EX11" s="292"/>
      <c r="EY11" s="292"/>
    </row>
    <row r="12" spans="1:155" ht="14.25" customHeight="1">
      <c r="A12" s="20" t="s">
        <v>404</v>
      </c>
      <c r="B12" s="21" t="s">
        <v>402</v>
      </c>
      <c r="C12" s="22" t="s">
        <v>3</v>
      </c>
      <c r="D12" s="23" t="s">
        <v>20</v>
      </c>
      <c r="E12" s="21" t="s">
        <v>20</v>
      </c>
      <c r="F12" s="21">
        <v>31</v>
      </c>
      <c r="G12" s="6"/>
      <c r="H12" s="29"/>
      <c r="I12" s="25" t="s">
        <v>896</v>
      </c>
      <c r="J12" s="26" t="s">
        <v>899</v>
      </c>
      <c r="K12" s="26" t="s">
        <v>902</v>
      </c>
      <c r="L12" s="26" t="s">
        <v>905</v>
      </c>
      <c r="M12" s="26" t="s">
        <v>862</v>
      </c>
      <c r="N12" s="26" t="s">
        <v>38</v>
      </c>
      <c r="O12" s="57" t="s">
        <v>224</v>
      </c>
      <c r="P12" s="26" t="s">
        <v>381</v>
      </c>
      <c r="Q12" s="26" t="s">
        <v>382</v>
      </c>
      <c r="R12" s="26" t="s">
        <v>383</v>
      </c>
      <c r="S12" s="26"/>
      <c r="T12" s="26"/>
      <c r="U12" s="26"/>
      <c r="V12" s="26"/>
      <c r="W12" s="26"/>
      <c r="X12" s="52"/>
      <c r="Y12" s="62" t="s">
        <v>892</v>
      </c>
      <c r="Z12" s="57" t="s">
        <v>890</v>
      </c>
      <c r="AA12" s="57" t="s">
        <v>893</v>
      </c>
      <c r="AB12" s="57" t="s">
        <v>891</v>
      </c>
      <c r="AC12" s="26"/>
      <c r="AD12" s="26"/>
      <c r="AE12" s="26"/>
      <c r="AF12" s="52"/>
      <c r="AG12" s="49"/>
      <c r="AH12" s="26"/>
      <c r="AI12" s="26"/>
      <c r="AJ12" s="27"/>
      <c r="AK12" s="25"/>
      <c r="AL12" s="26"/>
      <c r="AM12" s="26"/>
      <c r="AN12" s="52"/>
      <c r="AO12" s="59"/>
      <c r="AP12" s="59"/>
      <c r="AQ12" s="59"/>
      <c r="AR12" s="64"/>
      <c r="AS12" s="49" t="s">
        <v>869</v>
      </c>
      <c r="AT12" s="27"/>
      <c r="AU12" s="49" t="s">
        <v>808</v>
      </c>
      <c r="AV12" s="27"/>
      <c r="AW12" s="49" t="s">
        <v>815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60">
        <v>380</v>
      </c>
      <c r="BN12" s="157"/>
      <c r="BO12" s="157"/>
      <c r="BP12" s="157"/>
      <c r="BQ12" s="157"/>
      <c r="BR12" s="157"/>
      <c r="BS12" s="157"/>
      <c r="BT12" s="157"/>
      <c r="BU12" s="157"/>
      <c r="BV12" s="159" t="s">
        <v>500</v>
      </c>
      <c r="BW12" s="159" t="s">
        <v>384</v>
      </c>
      <c r="BX12" s="159" t="s">
        <v>385</v>
      </c>
      <c r="BY12" s="160" t="s">
        <v>880</v>
      </c>
      <c r="BZ12" s="159"/>
      <c r="CA12" s="159" t="s">
        <v>290</v>
      </c>
      <c r="CB12" s="159" t="s">
        <v>285</v>
      </c>
      <c r="CC12" s="159" t="s">
        <v>286</v>
      </c>
      <c r="CD12" s="159" t="s">
        <v>287</v>
      </c>
      <c r="CE12" s="160"/>
      <c r="CF12" s="160"/>
      <c r="CG12" s="160"/>
      <c r="CH12" s="160"/>
      <c r="CI12" s="160" t="s">
        <v>483</v>
      </c>
      <c r="CJ12" s="160" t="s">
        <v>298</v>
      </c>
      <c r="CK12" s="159" t="s">
        <v>493</v>
      </c>
      <c r="CL12" s="159" t="s">
        <v>495</v>
      </c>
      <c r="CM12" s="159" t="s">
        <v>497</v>
      </c>
      <c r="CN12" s="292" t="s">
        <v>332</v>
      </c>
      <c r="CO12" s="160">
        <v>2880</v>
      </c>
      <c r="CP12" s="292" t="s">
        <v>307</v>
      </c>
      <c r="CQ12" s="292" t="s">
        <v>854</v>
      </c>
      <c r="CR12" s="292"/>
      <c r="CS12" s="160"/>
      <c r="CT12" s="159"/>
      <c r="CU12" s="159"/>
      <c r="CV12" s="159" t="s">
        <v>504</v>
      </c>
      <c r="CW12" s="159" t="s">
        <v>336</v>
      </c>
      <c r="CX12" s="159" t="s">
        <v>343</v>
      </c>
      <c r="CY12" s="159" t="s">
        <v>439</v>
      </c>
      <c r="CZ12" s="159" t="s">
        <v>440</v>
      </c>
      <c r="DA12" s="159" t="s">
        <v>441</v>
      </c>
      <c r="DB12" s="320" t="s">
        <v>870</v>
      </c>
      <c r="DC12" s="320" t="s">
        <v>871</v>
      </c>
      <c r="DD12" s="159"/>
      <c r="DE12" s="159" t="s">
        <v>244</v>
      </c>
      <c r="DF12" s="159"/>
      <c r="DG12" s="159" t="s">
        <v>445</v>
      </c>
      <c r="DH12" s="159" t="s">
        <v>501</v>
      </c>
      <c r="DI12" s="159" t="s">
        <v>502</v>
      </c>
      <c r="DJ12" s="159" t="s">
        <v>503</v>
      </c>
      <c r="DK12" s="159"/>
      <c r="DL12" s="159"/>
      <c r="DM12" s="292"/>
      <c r="DN12" s="292"/>
      <c r="DO12" s="292"/>
      <c r="DP12" s="292"/>
      <c r="DQ12" s="292"/>
      <c r="DR12" s="292"/>
      <c r="DS12" s="292"/>
      <c r="DT12" s="292"/>
      <c r="DU12" s="292" t="s">
        <v>677</v>
      </c>
      <c r="DV12" s="292" t="s">
        <v>672</v>
      </c>
      <c r="DW12" s="292" t="s">
        <v>673</v>
      </c>
      <c r="DX12" s="292" t="s">
        <v>674</v>
      </c>
      <c r="DY12" s="292" t="s">
        <v>675</v>
      </c>
      <c r="DZ12" s="292"/>
      <c r="EA12" s="292"/>
      <c r="EB12" s="292"/>
      <c r="EC12" s="292"/>
      <c r="ED12" s="292"/>
      <c r="EE12" s="292"/>
      <c r="EF12" s="292"/>
      <c r="EG12" s="292"/>
      <c r="EH12" s="292"/>
      <c r="EI12" s="292"/>
      <c r="EJ12" s="292"/>
      <c r="EK12" s="292"/>
      <c r="EL12" s="292" t="s">
        <v>797</v>
      </c>
      <c r="EM12" s="292" t="s">
        <v>798</v>
      </c>
      <c r="EN12" s="159" t="s">
        <v>796</v>
      </c>
      <c r="EO12" s="992" t="s">
        <v>878</v>
      </c>
      <c r="EP12" s="992" t="s">
        <v>883</v>
      </c>
      <c r="EQ12" s="992" t="s">
        <v>885</v>
      </c>
      <c r="ER12" s="1003">
        <v>680</v>
      </c>
      <c r="ES12" s="1002"/>
      <c r="ET12" s="1145"/>
      <c r="EU12" s="1145"/>
      <c r="EV12" s="159" t="s">
        <v>834</v>
      </c>
      <c r="EW12" s="292"/>
      <c r="EX12" s="292"/>
      <c r="EY12" s="292"/>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f>SUM(CI9:CI12)</f>
        <v>0</v>
      </c>
      <c r="CJ13" s="154">
        <f>SUM(CJ9:CJ12)</f>
        <v>0</v>
      </c>
      <c r="CK13" s="154"/>
      <c r="CL13" s="154"/>
      <c r="CM13" s="154"/>
      <c r="CN13" s="154"/>
      <c r="CO13" s="154"/>
      <c r="CP13" s="154"/>
      <c r="CQ13" s="154"/>
      <c r="CR13" s="154"/>
      <c r="CS13" s="154"/>
      <c r="CT13" s="154"/>
      <c r="CU13" s="154"/>
      <c r="CV13" s="154"/>
      <c r="CW13" s="154"/>
      <c r="CX13" s="154"/>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325"/>
      <c r="EP13" s="325"/>
      <c r="EQ13" s="325"/>
      <c r="ER13" s="154">
        <f>AVERAGE(ER8:ER12)</f>
        <v>990.2</v>
      </c>
      <c r="ES13" s="154">
        <f>SUBTOTAL(9,ES8:ES12)</f>
        <v>0</v>
      </c>
      <c r="ET13" s="154"/>
      <c r="EU13" s="154"/>
      <c r="EV13" s="154">
        <f>SUBTOTAL(9,EV8:EV12)</f>
        <v>0</v>
      </c>
      <c r="EW13" s="154">
        <f>SUBTOTAL(9,EW8:EW12)</f>
        <v>0</v>
      </c>
      <c r="EX13" s="154">
        <f>SUBTOTAL(9,EX8:EX12)</f>
        <v>0</v>
      </c>
      <c r="EY13" s="154">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20"/>
      <c r="AT14" s="198"/>
      <c r="AU14" s="320"/>
      <c r="AV14" s="198"/>
      <c r="AW14" s="197"/>
      <c r="AX14" s="198"/>
      <c r="AY14" s="103"/>
      <c r="AZ14" s="104"/>
      <c r="BA14" s="104"/>
      <c r="BB14" s="104"/>
      <c r="BC14" s="105"/>
      <c r="BD14" s="103"/>
      <c r="BE14" s="104"/>
      <c r="BF14" s="104"/>
      <c r="BG14" s="105"/>
      <c r="BH14" s="60"/>
      <c r="BI14" s="60"/>
      <c r="BJ14" s="48"/>
      <c r="BK14" s="60"/>
      <c r="BL14" s="60"/>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320"/>
      <c r="DC14" s="321"/>
      <c r="DD14" s="328"/>
      <c r="DE14" s="328"/>
      <c r="DF14" s="328"/>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320"/>
      <c r="EP14" s="320"/>
      <c r="EQ14" s="320"/>
      <c r="ER14" s="341"/>
      <c r="ES14" s="341"/>
      <c r="ET14" s="186"/>
      <c r="EU14" s="186"/>
      <c r="EV14" s="155"/>
      <c r="EW14" s="155"/>
      <c r="EX14" s="155"/>
      <c r="EY14" s="155"/>
    </row>
    <row r="15" spans="1:155" ht="14.25" customHeight="1">
      <c r="A15" s="7" t="s">
        <v>405</v>
      </c>
      <c r="B15" s="21" t="s">
        <v>402</v>
      </c>
      <c r="C15" s="22" t="s">
        <v>3</v>
      </c>
      <c r="D15" s="23" t="s">
        <v>20</v>
      </c>
      <c r="E15" s="21" t="s">
        <v>22</v>
      </c>
      <c r="F15" s="21">
        <v>33</v>
      </c>
      <c r="G15" s="6"/>
      <c r="H15" s="24"/>
      <c r="I15" s="25" t="s">
        <v>516</v>
      </c>
      <c r="J15" s="26" t="s">
        <v>776</v>
      </c>
      <c r="K15" s="26" t="s">
        <v>784</v>
      </c>
      <c r="L15" s="26" t="s">
        <v>789</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8">
        <v>6650</v>
      </c>
      <c r="BN15" s="158"/>
      <c r="BO15" s="158"/>
      <c r="BP15" s="158"/>
      <c r="BQ15" s="158"/>
      <c r="BR15" s="158"/>
      <c r="BS15" s="158"/>
      <c r="BT15" s="158"/>
      <c r="BU15" s="158"/>
      <c r="BV15" s="158" t="s">
        <v>380</v>
      </c>
      <c r="BW15" s="158" t="s">
        <v>305</v>
      </c>
      <c r="BX15" s="158" t="s">
        <v>306</v>
      </c>
      <c r="BY15" s="217" t="s">
        <v>764</v>
      </c>
      <c r="BZ15" s="217" t="s">
        <v>845</v>
      </c>
      <c r="CA15" s="158"/>
      <c r="CB15" s="158"/>
      <c r="CC15" s="158"/>
      <c r="CD15" s="158"/>
      <c r="CE15" s="158"/>
      <c r="CF15" s="158"/>
      <c r="CG15" s="158"/>
      <c r="CH15" s="158"/>
      <c r="CI15" s="158" t="s">
        <v>489</v>
      </c>
      <c r="CJ15" s="158" t="s">
        <v>397</v>
      </c>
      <c r="CK15" s="158" t="s">
        <v>462</v>
      </c>
      <c r="CL15" s="158" t="s">
        <v>463</v>
      </c>
      <c r="CM15" s="158" t="s">
        <v>464</v>
      </c>
      <c r="CN15" s="158">
        <v>1262</v>
      </c>
      <c r="CO15" s="158">
        <v>6600</v>
      </c>
      <c r="CP15" s="158">
        <v>1262</v>
      </c>
      <c r="CQ15" s="217" t="s">
        <v>517</v>
      </c>
      <c r="CR15" s="217" t="s">
        <v>846</v>
      </c>
      <c r="CS15" s="158" t="s">
        <v>389</v>
      </c>
      <c r="CT15" s="159"/>
      <c r="CU15" s="159"/>
      <c r="CV15" s="159" t="s">
        <v>374</v>
      </c>
      <c r="CW15" s="159" t="s">
        <v>337</v>
      </c>
      <c r="CX15" s="159" t="s">
        <v>159</v>
      </c>
      <c r="CY15" s="159"/>
      <c r="CZ15" s="159"/>
      <c r="DA15" s="159"/>
      <c r="DB15" s="150" t="s">
        <v>777</v>
      </c>
      <c r="DC15" s="150" t="s">
        <v>778</v>
      </c>
      <c r="DD15" s="159"/>
      <c r="DE15" s="159" t="s">
        <v>523</v>
      </c>
      <c r="DF15" s="159" t="s">
        <v>410</v>
      </c>
      <c r="DG15" s="159"/>
      <c r="DH15" s="158" t="s">
        <v>427</v>
      </c>
      <c r="DI15" s="158" t="s">
        <v>428</v>
      </c>
      <c r="DJ15" s="158" t="s">
        <v>429</v>
      </c>
      <c r="DK15" s="158"/>
      <c r="DL15" s="158"/>
      <c r="DM15" s="158"/>
      <c r="DN15" s="158"/>
      <c r="DO15" s="158"/>
      <c r="DP15" s="158"/>
      <c r="DQ15" s="158"/>
      <c r="DR15" s="158"/>
      <c r="DS15" s="158"/>
      <c r="DT15" s="158"/>
      <c r="DU15" s="158" t="s">
        <v>609</v>
      </c>
      <c r="DV15" s="158"/>
      <c r="DW15" s="158"/>
      <c r="DX15" s="158"/>
      <c r="DY15" s="158"/>
      <c r="DZ15" s="158"/>
      <c r="EA15" s="158"/>
      <c r="EB15" s="158" t="s">
        <v>740</v>
      </c>
      <c r="EC15" s="158" t="s">
        <v>617</v>
      </c>
      <c r="ED15" s="158"/>
      <c r="EE15" s="158">
        <v>6000</v>
      </c>
      <c r="EF15" s="158">
        <v>650</v>
      </c>
      <c r="EG15" s="158"/>
      <c r="EH15" s="158"/>
      <c r="EI15" s="158" t="s">
        <v>618</v>
      </c>
      <c r="EJ15" s="158"/>
      <c r="EK15" s="158"/>
      <c r="EL15" s="158"/>
      <c r="EM15" s="158"/>
      <c r="EN15" s="158"/>
      <c r="EO15" s="991" t="s">
        <v>806</v>
      </c>
      <c r="EP15" s="991" t="s">
        <v>809</v>
      </c>
      <c r="EQ15" s="991" t="s">
        <v>816</v>
      </c>
      <c r="ER15" s="1006" t="s">
        <v>767</v>
      </c>
      <c r="ES15" s="1001"/>
      <c r="ET15" s="1145"/>
      <c r="EU15" s="1145"/>
      <c r="EV15" s="159" t="s">
        <v>833</v>
      </c>
      <c r="EW15" s="158"/>
      <c r="EX15" s="158"/>
      <c r="EY15" s="158"/>
    </row>
    <row r="16" spans="1:155" ht="14.25" customHeight="1">
      <c r="A16" s="7" t="s">
        <v>404</v>
      </c>
      <c r="B16" s="21" t="s">
        <v>402</v>
      </c>
      <c r="C16" s="22" t="s">
        <v>3</v>
      </c>
      <c r="D16" s="23" t="s">
        <v>20</v>
      </c>
      <c r="E16" s="21" t="s">
        <v>20</v>
      </c>
      <c r="F16" s="21">
        <v>31</v>
      </c>
      <c r="G16" s="6"/>
      <c r="H16" s="24"/>
      <c r="I16" s="25" t="s">
        <v>516</v>
      </c>
      <c r="J16" s="26" t="s">
        <v>779</v>
      </c>
      <c r="K16" s="26" t="s">
        <v>785</v>
      </c>
      <c r="L16" s="26" t="s">
        <v>790</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780</v>
      </c>
      <c r="AT16" s="27"/>
      <c r="AU16" s="49" t="s">
        <v>786</v>
      </c>
      <c r="AV16" s="27"/>
      <c r="AW16" s="49" t="s">
        <v>791</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60">
        <v>2500</v>
      </c>
      <c r="BN16" s="158"/>
      <c r="BO16" s="158"/>
      <c r="BP16" s="158"/>
      <c r="BQ16" s="158"/>
      <c r="BR16" s="158"/>
      <c r="BS16" s="158"/>
      <c r="BT16" s="157"/>
      <c r="BU16" s="157"/>
      <c r="BV16" s="158" t="s">
        <v>380</v>
      </c>
      <c r="BW16" s="158" t="s">
        <v>378</v>
      </c>
      <c r="BX16" s="158" t="s">
        <v>379</v>
      </c>
      <c r="BY16" s="176" t="s">
        <v>528</v>
      </c>
      <c r="BZ16" s="160"/>
      <c r="CA16" s="160"/>
      <c r="CB16" s="160"/>
      <c r="CC16" s="160"/>
      <c r="CD16" s="160"/>
      <c r="CE16" s="160"/>
      <c r="CF16" s="160"/>
      <c r="CG16" s="160"/>
      <c r="CH16" s="160"/>
      <c r="CI16" s="160" t="s">
        <v>489</v>
      </c>
      <c r="CJ16" s="160" t="s">
        <v>397</v>
      </c>
      <c r="CK16" s="158" t="s">
        <v>462</v>
      </c>
      <c r="CL16" s="158" t="s">
        <v>463</v>
      </c>
      <c r="CM16" s="158" t="s">
        <v>464</v>
      </c>
      <c r="CN16" s="292" t="s">
        <v>332</v>
      </c>
      <c r="CO16" s="160">
        <v>2880</v>
      </c>
      <c r="CP16" s="217" t="s">
        <v>308</v>
      </c>
      <c r="CQ16" s="217" t="s">
        <v>517</v>
      </c>
      <c r="CR16" s="217"/>
      <c r="CS16" s="158" t="s">
        <v>389</v>
      </c>
      <c r="CT16" s="159"/>
      <c r="CU16" s="159"/>
      <c r="CV16" s="159" t="s">
        <v>374</v>
      </c>
      <c r="CW16" s="159" t="s">
        <v>337</v>
      </c>
      <c r="CX16" s="159" t="s">
        <v>159</v>
      </c>
      <c r="CY16" s="159"/>
      <c r="CZ16" s="159"/>
      <c r="DA16" s="159"/>
      <c r="DB16" s="150" t="s">
        <v>781</v>
      </c>
      <c r="DC16" s="150" t="s">
        <v>782</v>
      </c>
      <c r="DD16" s="159"/>
      <c r="DE16" s="159" t="s">
        <v>523</v>
      </c>
      <c r="DF16" s="159" t="s">
        <v>410</v>
      </c>
      <c r="DG16" s="159"/>
      <c r="DH16" s="158" t="s">
        <v>427</v>
      </c>
      <c r="DI16" s="158" t="s">
        <v>428</v>
      </c>
      <c r="DJ16" s="158" t="s">
        <v>429</v>
      </c>
      <c r="DK16" s="158"/>
      <c r="DL16" s="158"/>
      <c r="DM16" s="158"/>
      <c r="DN16" s="158"/>
      <c r="DO16" s="158"/>
      <c r="DP16" s="158"/>
      <c r="DQ16" s="158"/>
      <c r="DR16" s="158"/>
      <c r="DS16" s="158"/>
      <c r="DT16" s="158"/>
      <c r="DU16" s="158" t="s">
        <v>609</v>
      </c>
      <c r="DV16" s="158"/>
      <c r="DW16" s="158"/>
      <c r="DX16" s="158"/>
      <c r="DY16" s="158"/>
      <c r="DZ16" s="158"/>
      <c r="EA16" s="158"/>
      <c r="EB16" s="158"/>
      <c r="EC16" s="158"/>
      <c r="ED16" s="158"/>
      <c r="EE16" s="158"/>
      <c r="EF16" s="158"/>
      <c r="EG16" s="158"/>
      <c r="EH16" s="158"/>
      <c r="EI16" s="158" t="s">
        <v>618</v>
      </c>
      <c r="EJ16" s="158"/>
      <c r="EK16" s="158"/>
      <c r="EL16" s="158"/>
      <c r="EM16" s="158"/>
      <c r="EN16" s="158"/>
      <c r="EO16" s="991" t="s">
        <v>783</v>
      </c>
      <c r="EP16" s="991" t="s">
        <v>787</v>
      </c>
      <c r="EQ16" s="991" t="s">
        <v>792</v>
      </c>
      <c r="ER16" s="1005">
        <v>1000</v>
      </c>
      <c r="ES16" s="1001"/>
      <c r="ET16" s="1145"/>
      <c r="EU16" s="1145"/>
      <c r="EV16" s="159" t="s">
        <v>833</v>
      </c>
      <c r="EW16" s="158"/>
      <c r="EX16" s="158"/>
      <c r="EY16" s="158"/>
    </row>
    <row r="17" spans="1:155" ht="14.25" customHeight="1">
      <c r="A17" s="7" t="s">
        <v>143</v>
      </c>
      <c r="B17" s="21" t="s">
        <v>402</v>
      </c>
      <c r="C17" s="22" t="s">
        <v>3</v>
      </c>
      <c r="D17" s="23" t="s">
        <v>82</v>
      </c>
      <c r="E17" s="21" t="s">
        <v>82</v>
      </c>
      <c r="F17" s="21" t="s">
        <v>138</v>
      </c>
      <c r="G17" s="6"/>
      <c r="H17" s="24"/>
      <c r="I17" s="25" t="s">
        <v>144</v>
      </c>
      <c r="J17" s="26" t="s">
        <v>827</v>
      </c>
      <c r="K17" s="26" t="s">
        <v>146</v>
      </c>
      <c r="L17" s="26" t="s">
        <v>788</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51" t="s">
        <v>529</v>
      </c>
      <c r="AT17" s="472" t="s">
        <v>327</v>
      </c>
      <c r="AU17" s="151" t="s">
        <v>328</v>
      </c>
      <c r="AV17" s="472" t="s">
        <v>329</v>
      </c>
      <c r="AW17" s="151" t="s">
        <v>330</v>
      </c>
      <c r="AX17" s="472"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51"/>
      <c r="BK17" s="64"/>
      <c r="BL17" s="64"/>
      <c r="BM17" s="157">
        <v>1800</v>
      </c>
      <c r="BN17" s="157"/>
      <c r="BO17" s="157"/>
      <c r="BP17" s="157"/>
      <c r="BQ17" s="157"/>
      <c r="BR17" s="157"/>
      <c r="BS17" s="157"/>
      <c r="BT17" s="157"/>
      <c r="BU17" s="157"/>
      <c r="BV17" s="157" t="s">
        <v>309</v>
      </c>
      <c r="BW17" s="157" t="s">
        <v>311</v>
      </c>
      <c r="BX17" s="157" t="s">
        <v>312</v>
      </c>
      <c r="BY17" s="176" t="s">
        <v>729</v>
      </c>
      <c r="BZ17" s="177" t="s">
        <v>739</v>
      </c>
      <c r="CA17" s="157"/>
      <c r="CB17" s="157"/>
      <c r="CC17" s="157"/>
      <c r="CD17" s="157"/>
      <c r="CE17" s="157"/>
      <c r="CF17" s="157"/>
      <c r="CG17" s="157"/>
      <c r="CH17" s="157"/>
      <c r="CI17" s="157" t="s">
        <v>507</v>
      </c>
      <c r="CJ17" s="157" t="s">
        <v>299</v>
      </c>
      <c r="CK17" s="157" t="s">
        <v>465</v>
      </c>
      <c r="CL17" s="157" t="s">
        <v>466</v>
      </c>
      <c r="CM17" s="157" t="s">
        <v>466</v>
      </c>
      <c r="CN17" s="157">
        <v>1175</v>
      </c>
      <c r="CO17" s="157">
        <v>1800</v>
      </c>
      <c r="CP17" s="292" t="s">
        <v>417</v>
      </c>
      <c r="CQ17" s="157" t="s">
        <v>738</v>
      </c>
      <c r="CR17" s="157"/>
      <c r="CS17" s="157" t="s">
        <v>622</v>
      </c>
      <c r="CT17" s="159"/>
      <c r="CU17" s="159"/>
      <c r="CV17" s="159" t="s">
        <v>314</v>
      </c>
      <c r="CW17" s="159" t="s">
        <v>338</v>
      </c>
      <c r="CX17" s="159" t="s">
        <v>341</v>
      </c>
      <c r="CY17" s="159"/>
      <c r="CZ17" s="159"/>
      <c r="DA17" s="159"/>
      <c r="DB17" s="323" t="s">
        <v>775</v>
      </c>
      <c r="DC17" s="329"/>
      <c r="DD17" s="159"/>
      <c r="DE17" s="330" t="s">
        <v>522</v>
      </c>
      <c r="DF17" s="330" t="s">
        <v>145</v>
      </c>
      <c r="DG17" s="159"/>
      <c r="DH17" s="157" t="s">
        <v>435</v>
      </c>
      <c r="DI17" s="157" t="s">
        <v>433</v>
      </c>
      <c r="DJ17" s="157" t="s">
        <v>434</v>
      </c>
      <c r="DK17" s="157"/>
      <c r="DL17" s="157"/>
      <c r="DM17" s="158"/>
      <c r="DN17" s="158"/>
      <c r="DO17" s="158"/>
      <c r="DP17" s="158"/>
      <c r="DQ17" s="158"/>
      <c r="DR17" s="158"/>
      <c r="DS17" s="158"/>
      <c r="DT17" s="158"/>
      <c r="DU17" s="158" t="s">
        <v>610</v>
      </c>
      <c r="DV17" s="158"/>
      <c r="DW17" s="158"/>
      <c r="DX17" s="158"/>
      <c r="DY17" s="158"/>
      <c r="DZ17" s="158"/>
      <c r="EA17" s="158"/>
      <c r="EB17" s="158" t="s">
        <v>616</v>
      </c>
      <c r="EC17" s="158" t="s">
        <v>619</v>
      </c>
      <c r="ED17" s="158"/>
      <c r="EE17" s="158">
        <v>1200</v>
      </c>
      <c r="EF17" s="158">
        <v>600</v>
      </c>
      <c r="EG17" s="158"/>
      <c r="EH17" s="158"/>
      <c r="EI17" s="158" t="s">
        <v>621</v>
      </c>
      <c r="EJ17" s="158"/>
      <c r="EK17" s="158"/>
      <c r="EL17" s="158"/>
      <c r="EM17" s="158"/>
      <c r="EN17" s="158"/>
      <c r="EO17" s="323" t="s">
        <v>775</v>
      </c>
      <c r="EP17" s="323" t="s">
        <v>146</v>
      </c>
      <c r="EQ17" s="323" t="s">
        <v>788</v>
      </c>
      <c r="ER17" s="1004">
        <v>1600</v>
      </c>
      <c r="ES17" s="342"/>
      <c r="ET17" s="1145"/>
      <c r="EU17" s="1145"/>
      <c r="EV17" s="159" t="s">
        <v>836</v>
      </c>
      <c r="EW17" s="158"/>
      <c r="EX17" s="158"/>
      <c r="EY17" s="158"/>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3" t="e">
        <f>SUBTOTAL(9,AP15:AP17)-#REF!</f>
        <v>#REF!</v>
      </c>
      <c r="AQ18" s="109">
        <f>SUBTOTAL(9,AQ15:AQ17)</f>
        <v>0</v>
      </c>
      <c r="AR18" s="143" t="e">
        <f>SUBTOTAL(9,AR15:AR17)-#REF!</f>
        <v>#REF!</v>
      </c>
      <c r="AS18" s="143">
        <f t="shared" ref="AS18:BC18" si="15">SUBTOTAL(9,AS15:AS17)</f>
        <v>0</v>
      </c>
      <c r="AT18" s="143">
        <f t="shared" si="15"/>
        <v>0</v>
      </c>
      <c r="AU18" s="143">
        <f t="shared" si="15"/>
        <v>0</v>
      </c>
      <c r="AV18" s="143">
        <f t="shared" si="15"/>
        <v>0</v>
      </c>
      <c r="AW18" s="143">
        <f t="shared" si="15"/>
        <v>0</v>
      </c>
      <c r="AX18" s="143">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3" t="e">
        <f>SUBTOTAL(9,BH15:BH17)-#REF!</f>
        <v>#REF!</v>
      </c>
      <c r="BI18" s="143" t="e">
        <f>SUBTOTAL(9,BI15:BI17)-#REF!</f>
        <v>#REF!</v>
      </c>
      <c r="BJ18" s="107"/>
      <c r="BK18" s="109">
        <f>SUBTOTAL(9,BK15:BK17)</f>
        <v>0</v>
      </c>
      <c r="BL18" s="109"/>
      <c r="BM18" s="154">
        <f>SUBTOTAL(9,BM15:BM17)</f>
        <v>10950</v>
      </c>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325"/>
      <c r="DC18" s="326"/>
      <c r="DD18" s="327"/>
      <c r="DE18" s="327"/>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325"/>
      <c r="EP18" s="325"/>
      <c r="EQ18" s="325"/>
      <c r="ER18" s="154">
        <f>AVERAGE(ER15:ER17)</f>
        <v>1300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31"/>
      <c r="AT19" s="215"/>
      <c r="AU19" s="331"/>
      <c r="AV19" s="215"/>
      <c r="AW19" s="214"/>
      <c r="AX19" s="215"/>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6">
        <f>SUBTOTAL(9,BM9:BM18)</f>
        <v>13050</v>
      </c>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331"/>
      <c r="DC19" s="332"/>
      <c r="DD19" s="331"/>
      <c r="DE19" s="331"/>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331"/>
      <c r="EP19" s="331"/>
      <c r="EQ19" s="331"/>
      <c r="ER19" s="154">
        <f>AVERAGE(ER9:ER18)</f>
        <v>1211.6500000000001</v>
      </c>
      <c r="ES19" s="154">
        <f>AVERAGE(ES9:ES18)</f>
        <v>0</v>
      </c>
      <c r="ET19" s="154"/>
      <c r="EU19" s="154"/>
      <c r="EV19" s="154">
        <f>AVERAGE(EV9:EV18)</f>
        <v>0</v>
      </c>
      <c r="EW19" s="156"/>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gmc9bE6ra2eOoSkgEkYveb4xFo+2CnHcjs0GIVwDQbvF7yw1nCKyRlXWp2S0bqELqgCgyrBmhnIf/1bhsn4MwA==" saltValue="dRddP6nj0h8356JMK0oqkw=="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K9" sqref="K9"/>
    </sheetView>
  </sheetViews>
  <sheetFormatPr baseColWidth="10" defaultColWidth="11.42578125" defaultRowHeight="12.75"/>
  <cols>
    <col min="1" max="1" width="15.42578125" style="490" hidden="1" customWidth="1"/>
    <col min="2" max="2" width="9.42578125" style="490" hidden="1" customWidth="1"/>
    <col min="3" max="3" width="37.28515625" style="474" bestFit="1" customWidth="1"/>
    <col min="4" max="4" width="7.42578125" style="474" customWidth="1"/>
    <col min="5" max="5" width="16.7109375" style="474" customWidth="1"/>
    <col min="6" max="6" width="15.85546875" style="474" customWidth="1"/>
    <col min="7" max="7" width="13.5703125" style="474" customWidth="1"/>
    <col min="8" max="8" width="14.28515625" style="474" customWidth="1"/>
    <col min="9" max="9" width="14" style="474" customWidth="1"/>
    <col min="10" max="11" width="14.42578125" customWidth="1"/>
    <col min="12" max="14" width="14.28515625" style="474" customWidth="1"/>
    <col min="15" max="16" width="14.28515625" style="575" customWidth="1"/>
    <col min="17" max="17" width="14.7109375" style="474" customWidth="1"/>
    <col min="18" max="18" width="14.28515625" style="474" customWidth="1"/>
    <col min="19" max="20" width="14.28515625" style="495" customWidth="1"/>
    <col min="21" max="21" width="14.28515625" style="474" customWidth="1"/>
    <col min="22" max="22" width="14.28515625" style="495" customWidth="1"/>
    <col min="23" max="23" width="13.7109375" customWidth="1"/>
    <col min="24" max="24" width="13" style="474" customWidth="1"/>
    <col min="25" max="25" width="14.28515625" style="611" customWidth="1"/>
    <col min="26" max="26" width="12.85546875" style="474" customWidth="1"/>
    <col min="27" max="27" width="14.28515625" style="495" customWidth="1"/>
    <col min="28" max="28" width="14.85546875" style="474" customWidth="1"/>
    <col min="29" max="31" width="16.28515625" style="474" customWidth="1"/>
    <col min="32" max="32" width="14.28515625" style="474" customWidth="1"/>
    <col min="33" max="44" width="16.28515625" style="474" customWidth="1"/>
    <col min="45" max="45" width="12.5703125" style="474" customWidth="1"/>
    <col min="46" max="54" width="13" style="474" customWidth="1"/>
    <col min="55" max="56" width="12.85546875" style="474" customWidth="1"/>
    <col min="57" max="58" width="11.42578125" style="474"/>
    <col min="59" max="59" width="12.42578125" style="474" customWidth="1"/>
    <col min="60" max="60" width="12.28515625" style="474" customWidth="1"/>
    <col min="61" max="61" width="12.42578125" style="474" customWidth="1"/>
    <col min="62" max="62" width="16.140625" style="495" customWidth="1"/>
    <col min="63" max="63" width="16.140625" style="575" customWidth="1"/>
    <col min="64" max="65" width="14.5703125" style="474" customWidth="1"/>
    <col min="66" max="67" width="14.5703125" style="575" customWidth="1"/>
    <col min="68" max="71" width="13.42578125" style="474" customWidth="1"/>
    <col min="72" max="73" width="14.85546875" style="474" customWidth="1"/>
    <col min="74" max="74" width="14.85546875" style="474" hidden="1" customWidth="1"/>
    <col min="75" max="75" width="11.42578125" style="474" customWidth="1"/>
    <col min="76" max="16384" width="11.42578125" style="474"/>
  </cols>
  <sheetData>
    <row r="1" spans="1:74">
      <c r="C1" s="1107" t="str">
        <f>Criterios!A9 &amp;"  "&amp;Criterios!B9</f>
        <v>Tribunales de Justicia  ASTURIAS</v>
      </c>
    </row>
    <row r="2" spans="1:74" ht="16.5" customHeight="1">
      <c r="C2" s="491" t="str">
        <f>Criterios!A10 &amp;"  "&amp;Criterios!B10 &amp; "  " &amp; IF(NOT(ISBLANK(Criterios!A11)),Criterios!A11 &amp;"  "&amp;Criterios!B11,"")</f>
        <v>Provincias  ASTURIAS  Resumenes por Partidos Judiciales  LENA</v>
      </c>
      <c r="D2" s="491"/>
      <c r="E2" s="492"/>
      <c r="F2" s="492"/>
      <c r="G2" s="493"/>
      <c r="I2" s="492"/>
      <c r="J2" s="265"/>
      <c r="K2" s="265"/>
      <c r="L2" s="492"/>
      <c r="M2" s="492"/>
      <c r="N2" s="492"/>
      <c r="O2" s="585"/>
      <c r="P2" s="585"/>
      <c r="Q2" s="492"/>
      <c r="U2" s="492"/>
      <c r="V2" s="494"/>
      <c r="Y2" s="607"/>
    </row>
    <row r="3" spans="1:74" ht="30" customHeight="1">
      <c r="C3" s="657"/>
      <c r="D3" s="496"/>
      <c r="G3" s="493"/>
      <c r="I3" s="492"/>
    </row>
    <row r="4" spans="1:74" ht="17.25" customHeight="1" thickBot="1">
      <c r="C4" s="616"/>
      <c r="D4" s="497"/>
      <c r="E4" s="498"/>
      <c r="F4" s="498"/>
      <c r="G4" s="498"/>
      <c r="H4" s="498"/>
      <c r="I4" s="498"/>
      <c r="J4" s="333"/>
      <c r="K4" s="333"/>
      <c r="L4" s="498"/>
      <c r="M4" s="498"/>
      <c r="N4" s="498"/>
      <c r="O4" s="585"/>
      <c r="P4" s="498"/>
      <c r="Q4" s="498"/>
      <c r="R4" s="498"/>
      <c r="S4" s="494"/>
      <c r="T4" s="494"/>
      <c r="U4" s="498"/>
      <c r="V4" s="498"/>
      <c r="Y4" s="607"/>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row>
    <row r="5" spans="1:74" ht="15.75" customHeight="1">
      <c r="A5" s="1276" t="s">
        <v>351</v>
      </c>
      <c r="B5" s="275"/>
      <c r="C5" s="1510" t="str">
        <f>"Año:  " &amp;Criterios!B$5 &amp; "          Trimestre   " &amp;Criterios!D$5 &amp; " al " &amp;Criterios!D$6</f>
        <v>Año:  2023          Trimestre   1 al 4</v>
      </c>
      <c r="D5" s="1483" t="s">
        <v>376</v>
      </c>
      <c r="E5" s="1483" t="s">
        <v>560</v>
      </c>
      <c r="F5" s="1512" t="s">
        <v>406</v>
      </c>
      <c r="G5" s="1483" t="s">
        <v>128</v>
      </c>
      <c r="H5" s="1483" t="s">
        <v>590</v>
      </c>
      <c r="I5" s="1483" t="s">
        <v>561</v>
      </c>
      <c r="J5" s="1483" t="s">
        <v>664</v>
      </c>
      <c r="K5" s="1483" t="s">
        <v>665</v>
      </c>
      <c r="L5" s="1483" t="s">
        <v>562</v>
      </c>
      <c r="M5" s="1483" t="s">
        <v>530</v>
      </c>
      <c r="N5" s="1483" t="s">
        <v>666</v>
      </c>
      <c r="O5" s="1515" t="s">
        <v>588</v>
      </c>
      <c r="P5" s="1483" t="s">
        <v>684</v>
      </c>
      <c r="Q5" s="1483" t="s">
        <v>679</v>
      </c>
      <c r="R5" s="1483" t="s">
        <v>168</v>
      </c>
      <c r="S5" s="1518" t="s">
        <v>676</v>
      </c>
      <c r="T5" s="1518" t="s">
        <v>678</v>
      </c>
      <c r="U5" s="1483" t="s">
        <v>591</v>
      </c>
      <c r="V5" s="1518" t="s">
        <v>563</v>
      </c>
      <c r="W5" s="1483" t="s">
        <v>771</v>
      </c>
      <c r="X5" s="1483" t="s">
        <v>772</v>
      </c>
      <c r="Y5" s="1486" t="s">
        <v>667</v>
      </c>
      <c r="Z5" s="1501" t="s">
        <v>613</v>
      </c>
      <c r="AA5" s="1504" t="s">
        <v>564</v>
      </c>
      <c r="AB5" s="1501" t="s">
        <v>565</v>
      </c>
      <c r="AC5" s="1501" t="s">
        <v>566</v>
      </c>
      <c r="AD5" s="1480" t="s">
        <v>668</v>
      </c>
      <c r="AE5" s="1480" t="s">
        <v>799</v>
      </c>
      <c r="AF5" s="1483" t="s">
        <v>680</v>
      </c>
      <c r="AG5" s="1483" t="s">
        <v>531</v>
      </c>
      <c r="AH5" s="1483" t="s">
        <v>669</v>
      </c>
      <c r="AI5" s="1483" t="s">
        <v>179</v>
      </c>
      <c r="AJ5" s="1483" t="s">
        <v>734</v>
      </c>
      <c r="AK5" s="1483" t="s">
        <v>532</v>
      </c>
      <c r="AL5" s="1483" t="s">
        <v>533</v>
      </c>
      <c r="AM5" s="1483" t="s">
        <v>685</v>
      </c>
      <c r="AN5" s="1483" t="s">
        <v>534</v>
      </c>
      <c r="AO5" s="1483" t="s">
        <v>535</v>
      </c>
      <c r="AP5" s="1483" t="s">
        <v>536</v>
      </c>
      <c r="AQ5" s="1483" t="s">
        <v>537</v>
      </c>
      <c r="AR5" s="1483" t="s">
        <v>670</v>
      </c>
      <c r="AS5" s="1483" t="s">
        <v>182</v>
      </c>
      <c r="AT5" s="1489" t="s">
        <v>180</v>
      </c>
      <c r="AU5" s="1483" t="s">
        <v>681</v>
      </c>
      <c r="AV5" s="1492" t="s">
        <v>682</v>
      </c>
      <c r="AW5" s="1495" t="s">
        <v>539</v>
      </c>
      <c r="AX5" s="1483" t="s">
        <v>540</v>
      </c>
      <c r="AY5" s="1483" t="s">
        <v>611</v>
      </c>
      <c r="AZ5" s="1498" t="s">
        <v>612</v>
      </c>
      <c r="BA5" s="1483" t="s">
        <v>568</v>
      </c>
      <c r="BB5" s="1492" t="s">
        <v>569</v>
      </c>
      <c r="BC5" s="1495" t="s">
        <v>183</v>
      </c>
      <c r="BD5" s="1483" t="s">
        <v>570</v>
      </c>
      <c r="BE5" s="1483" t="s">
        <v>247</v>
      </c>
      <c r="BF5" s="1483" t="s">
        <v>248</v>
      </c>
      <c r="BG5" s="1483" t="s">
        <v>249</v>
      </c>
      <c r="BH5" s="1483" t="s">
        <v>571</v>
      </c>
      <c r="BI5" s="1483" t="s">
        <v>250</v>
      </c>
      <c r="BJ5" s="1483" t="s">
        <v>572</v>
      </c>
      <c r="BK5" s="1483" t="s">
        <v>586</v>
      </c>
      <c r="BL5" s="1483" t="s">
        <v>573</v>
      </c>
      <c r="BM5" s="1483" t="s">
        <v>574</v>
      </c>
      <c r="BN5" s="1483" t="s">
        <v>599</v>
      </c>
      <c r="BO5" s="1483" t="s">
        <v>592</v>
      </c>
      <c r="BP5" s="1483" t="s">
        <v>839</v>
      </c>
      <c r="BQ5" s="1483" t="s">
        <v>842</v>
      </c>
      <c r="BR5" s="1483" t="s">
        <v>844</v>
      </c>
      <c r="BS5" s="1483" t="s">
        <v>593</v>
      </c>
      <c r="BT5" s="1483" t="s">
        <v>575</v>
      </c>
      <c r="BU5" s="1483" t="s">
        <v>538</v>
      </c>
      <c r="BV5" s="1507" t="s">
        <v>773</v>
      </c>
    </row>
    <row r="6" spans="1:74" ht="21.75" customHeight="1">
      <c r="A6" s="1277"/>
      <c r="B6" s="276"/>
      <c r="C6" s="1511"/>
      <c r="D6" s="1484"/>
      <c r="E6" s="1484"/>
      <c r="F6" s="1513"/>
      <c r="G6" s="1484"/>
      <c r="H6" s="1484"/>
      <c r="I6" s="1484"/>
      <c r="J6" s="1484"/>
      <c r="K6" s="1484"/>
      <c r="L6" s="1484"/>
      <c r="M6" s="1484"/>
      <c r="N6" s="1484"/>
      <c r="O6" s="1516"/>
      <c r="P6" s="1484"/>
      <c r="Q6" s="1484"/>
      <c r="R6" s="1484"/>
      <c r="S6" s="1519"/>
      <c r="T6" s="1519"/>
      <c r="U6" s="1484"/>
      <c r="V6" s="1519"/>
      <c r="W6" s="1484"/>
      <c r="X6" s="1484"/>
      <c r="Y6" s="1487"/>
      <c r="Z6" s="1502"/>
      <c r="AA6" s="1505"/>
      <c r="AB6" s="1502"/>
      <c r="AC6" s="1502"/>
      <c r="AD6" s="1481"/>
      <c r="AE6" s="1481"/>
      <c r="AF6" s="1484"/>
      <c r="AG6" s="1484"/>
      <c r="AH6" s="1484"/>
      <c r="AI6" s="1484"/>
      <c r="AJ6" s="1484"/>
      <c r="AK6" s="1484"/>
      <c r="AL6" s="1484"/>
      <c r="AM6" s="1484"/>
      <c r="AN6" s="1484"/>
      <c r="AO6" s="1484"/>
      <c r="AP6" s="1484"/>
      <c r="AQ6" s="1484"/>
      <c r="AR6" s="1484"/>
      <c r="AS6" s="1484"/>
      <c r="AT6" s="1490"/>
      <c r="AU6" s="1484"/>
      <c r="AV6" s="1493"/>
      <c r="AW6" s="1496"/>
      <c r="AX6" s="1484"/>
      <c r="AY6" s="1484"/>
      <c r="AZ6" s="1499"/>
      <c r="BA6" s="1484"/>
      <c r="BB6" s="1493"/>
      <c r="BC6" s="1496"/>
      <c r="BD6" s="1484"/>
      <c r="BE6" s="1484"/>
      <c r="BF6" s="1484"/>
      <c r="BG6" s="1484"/>
      <c r="BH6" s="1484"/>
      <c r="BI6" s="1484"/>
      <c r="BJ6" s="1484"/>
      <c r="BK6" s="1484"/>
      <c r="BL6" s="1484"/>
      <c r="BM6" s="1484"/>
      <c r="BN6" s="1484"/>
      <c r="BO6" s="1484"/>
      <c r="BP6" s="1484"/>
      <c r="BQ6" s="1484"/>
      <c r="BR6" s="1484"/>
      <c r="BS6" s="1484"/>
      <c r="BT6" s="1484"/>
      <c r="BU6" s="1484"/>
      <c r="BV6" s="1508"/>
    </row>
    <row r="7" spans="1:74" ht="38.25" customHeight="1" thickBot="1">
      <c r="A7" s="1278"/>
      <c r="B7" s="277"/>
      <c r="C7" s="267" t="str">
        <f>Datos!A7</f>
        <v>COMPETENCIAS</v>
      </c>
      <c r="D7" s="1485"/>
      <c r="E7" s="1485"/>
      <c r="F7" s="1514"/>
      <c r="G7" s="1485"/>
      <c r="H7" s="1485"/>
      <c r="I7" s="1485"/>
      <c r="J7" s="1485"/>
      <c r="K7" s="1485"/>
      <c r="L7" s="1485"/>
      <c r="M7" s="1485"/>
      <c r="N7" s="1485"/>
      <c r="O7" s="1517"/>
      <c r="P7" s="1485"/>
      <c r="Q7" s="1485"/>
      <c r="R7" s="1485"/>
      <c r="S7" s="1520"/>
      <c r="T7" s="1520"/>
      <c r="U7" s="1485"/>
      <c r="V7" s="1520"/>
      <c r="W7" s="1485"/>
      <c r="X7" s="1485"/>
      <c r="Y7" s="1488"/>
      <c r="Z7" s="1503"/>
      <c r="AA7" s="1506"/>
      <c r="AB7" s="1503"/>
      <c r="AC7" s="1503"/>
      <c r="AD7" s="1482"/>
      <c r="AE7" s="1482"/>
      <c r="AF7" s="1485"/>
      <c r="AG7" s="1485"/>
      <c r="AH7" s="1485"/>
      <c r="AI7" s="1485"/>
      <c r="AJ7" s="1485"/>
      <c r="AK7" s="1485"/>
      <c r="AL7" s="1485"/>
      <c r="AM7" s="1485"/>
      <c r="AN7" s="1485"/>
      <c r="AO7" s="1485"/>
      <c r="AP7" s="1485"/>
      <c r="AQ7" s="1485"/>
      <c r="AR7" s="1485"/>
      <c r="AS7" s="1485"/>
      <c r="AT7" s="1491"/>
      <c r="AU7" s="1485"/>
      <c r="AV7" s="1494"/>
      <c r="AW7" s="1497"/>
      <c r="AX7" s="1485"/>
      <c r="AY7" s="1485"/>
      <c r="AZ7" s="1500"/>
      <c r="BA7" s="1485"/>
      <c r="BB7" s="1494"/>
      <c r="BC7" s="1497"/>
      <c r="BD7" s="1485"/>
      <c r="BE7" s="1485"/>
      <c r="BF7" s="1485"/>
      <c r="BG7" s="1485"/>
      <c r="BH7" s="1485"/>
      <c r="BI7" s="1485"/>
      <c r="BJ7" s="1485"/>
      <c r="BK7" s="1485"/>
      <c r="BL7" s="1485"/>
      <c r="BM7" s="1485"/>
      <c r="BN7" s="1485"/>
      <c r="BO7" s="1485"/>
      <c r="BP7" s="1485"/>
      <c r="BQ7" s="1485"/>
      <c r="BR7" s="1485"/>
      <c r="BS7" s="1485"/>
      <c r="BT7" s="1485"/>
      <c r="BU7" s="1485"/>
      <c r="BV7" s="1509"/>
    </row>
    <row r="8" spans="1:74" ht="15" thickTop="1">
      <c r="A8" s="499"/>
      <c r="B8" s="499"/>
      <c r="C8" s="164" t="str">
        <f>Datos!A8</f>
        <v>Jurisdicción Civil ( 1 ):</v>
      </c>
      <c r="D8" s="500"/>
      <c r="E8" s="500"/>
      <c r="F8" s="219"/>
      <c r="G8" s="219"/>
      <c r="H8" s="220"/>
      <c r="I8" s="219"/>
      <c r="J8" s="220"/>
      <c r="K8" s="220"/>
      <c r="L8" s="220"/>
      <c r="M8" s="220"/>
      <c r="N8" s="220"/>
      <c r="O8" s="586"/>
      <c r="P8" s="586"/>
      <c r="Q8" s="220"/>
      <c r="R8" s="220"/>
      <c r="S8" s="478"/>
      <c r="T8" s="478"/>
      <c r="U8" s="220"/>
      <c r="V8" s="478"/>
      <c r="W8" s="302"/>
      <c r="X8" s="302"/>
      <c r="Y8" s="220"/>
      <c r="Z8" s="224"/>
      <c r="AA8" s="479"/>
      <c r="AB8" s="219"/>
      <c r="AC8" s="220"/>
      <c r="AD8" s="220"/>
      <c r="AE8" s="220"/>
      <c r="AF8" s="219"/>
      <c r="AG8" s="220"/>
      <c r="AH8" s="220"/>
      <c r="AI8" s="220"/>
      <c r="AJ8" s="220"/>
      <c r="AK8" s="220"/>
      <c r="AL8" s="220"/>
      <c r="AM8" s="220"/>
      <c r="AN8" s="220"/>
      <c r="AO8" s="220"/>
      <c r="AP8" s="220"/>
      <c r="AQ8" s="220"/>
      <c r="AR8" s="220"/>
      <c r="AS8" s="312"/>
      <c r="AT8" s="219"/>
      <c r="AU8" s="220"/>
      <c r="AV8" s="221"/>
      <c r="AW8" s="301"/>
      <c r="AX8" s="230"/>
      <c r="AY8" s="301"/>
      <c r="AZ8" s="230"/>
      <c r="BA8" s="220"/>
      <c r="BB8" s="221"/>
      <c r="BC8" s="219"/>
      <c r="BD8" s="220"/>
      <c r="BE8" s="222"/>
      <c r="BF8" s="223"/>
      <c r="BG8" s="224"/>
      <c r="BH8" s="225"/>
      <c r="BI8" s="224"/>
      <c r="BJ8" s="227"/>
      <c r="BK8" s="576"/>
      <c r="BL8" s="227"/>
      <c r="BM8" s="306"/>
      <c r="BN8" s="588"/>
      <c r="BO8" s="588"/>
      <c r="BP8" s="227"/>
      <c r="BQ8" s="227"/>
      <c r="BR8" s="227"/>
      <c r="BS8" s="227"/>
      <c r="BT8" s="302"/>
      <c r="BU8" s="480"/>
      <c r="BV8" s="1109"/>
    </row>
    <row r="9" spans="1:74" ht="14.25">
      <c r="A9" s="504">
        <f>Datos!AO9</f>
        <v>0</v>
      </c>
      <c r="B9" s="504" t="s">
        <v>246</v>
      </c>
      <c r="C9" s="163" t="str">
        <f>Datos!A9</f>
        <v xml:space="preserve">Jdos. 1ª Instancia   </v>
      </c>
      <c r="D9" s="505"/>
      <c r="E9" s="263">
        <f>IF(ISNUMBER(Datos!AQ9),Datos!AQ9," - ")</f>
        <v>0</v>
      </c>
      <c r="F9" s="228" t="str">
        <f>IF(ISNUMBER(AF9+AB9-I9-L9),AF9+AB9-I9-L9," - ")</f>
        <v xml:space="preserve"> - </v>
      </c>
      <c r="G9" s="336" t="str">
        <f>IF(ISNUMBER(IF(J_V="SI",Datos!I9,Datos!I9+Datos!Y9)-IF(Monitorios="SI",Datos!CA9,0)),
                          IF(J_V="SI",Datos!I9,Datos!I9+Datos!Y9)-IF(Monitorios="SI",Datos!CA9,0),
                          " - ")</f>
        <v xml:space="preserve"> - </v>
      </c>
      <c r="H9" s="229"/>
      <c r="I9" s="228" t="str">
        <f>IF(ISNUMBER(Datos!DB9),Datos!DB9," - ")</f>
        <v xml:space="preserve"> - </v>
      </c>
      <c r="J9" s="229" t="str">
        <f>IF(ISNUMBER(Datos!DC9),Datos!DC9," - ")</f>
        <v xml:space="preserve"> - </v>
      </c>
      <c r="K9" s="337" t="str">
        <f>IF(ISNUMBER(Datos!DD9),Datos!DD9," - ")</f>
        <v xml:space="preserve"> - </v>
      </c>
      <c r="L9" s="229">
        <f>IF(ISNUMBER(Datos!DF9),Datos!DF9,0)</f>
        <v>0</v>
      </c>
      <c r="M9" s="229">
        <f>IF(ISNUMBER(Datos!DM9),Datos!DM9,0)</f>
        <v>0</v>
      </c>
      <c r="N9" s="337" t="str">
        <f>IF(ISNUMBER(Datos!Z9),Datos!Z9," - ")</f>
        <v xml:space="preserve"> - </v>
      </c>
      <c r="O9" s="337"/>
      <c r="P9" s="337"/>
      <c r="Q9" s="229">
        <f>IF(ISNUMBER(Datos!P9),Datos!P9,0)</f>
        <v>0</v>
      </c>
      <c r="R9" s="229" t="str">
        <f>IF(ISNUMBER(Datos!DE9),Datos!DE9," - ")</f>
        <v xml:space="preserve"> - </v>
      </c>
      <c r="S9" s="351"/>
      <c r="T9" s="351"/>
      <c r="U9" s="229" t="str">
        <f>IF(ISNUMBER(Datos!AS9/1),Datos!AS9/1," - ")</f>
        <v xml:space="preserve"> - </v>
      </c>
      <c r="V9" s="484" t="str">
        <f>IF(ISNUMBER(U9/(Datos!BM9/factor_trimestre)),U9/(Datos!BM9/factor_trimestre)," - ")</f>
        <v xml:space="preserve"> - </v>
      </c>
      <c r="W9" s="229" t="str">
        <f>IF(ISNUMBER(Datos!EO9),Datos!EO9," - ")</f>
        <v xml:space="preserve"> - </v>
      </c>
      <c r="X9" s="994" t="e">
        <f>(W9/Datos!ER9)*factor_trimestre</f>
        <v>#VALUE!</v>
      </c>
      <c r="Y9" s="622" t="str">
        <f>IF(ISNUMBER(Datos!CB9),Datos!CB9," - ")</f>
        <v xml:space="preserve"> - </v>
      </c>
      <c r="Z9" s="228">
        <f>IF(ISNUMBER(Datos!BY9+Datos!BZ9*0.86),Datos!BY9+Datos!BZ9*0.86," - ")</f>
        <v>0</v>
      </c>
      <c r="AA9" s="484">
        <f>IF(ISNUMBER((Z9*factor_trimestre)/DatosB!CN9),(Z9*factor_trimestre)/DatosB!CN9,"-")</f>
        <v>0</v>
      </c>
      <c r="AB9" s="228" t="str">
        <f>IF(ISNUMBER(IF(J_V="SI",Datos!K9,Datos!K9+Datos!AA9)-IF(Monitorios="SI",Datos!CC9,0)),
                          IF(J_V="SI",Datos!K9,Datos!K9+Datos!AA9)-IF(Monitorios="SI",Datos!CC9,0),
                          " - ")</f>
        <v xml:space="preserve"> - </v>
      </c>
      <c r="AC9" s="229" t="str">
        <f>IF(ISNUMBER(Datos!Q9),Datos!Q9," - ")</f>
        <v xml:space="preserve"> - </v>
      </c>
      <c r="AD9" s="337" t="str">
        <f>IF(ISNUMBER(Datos!CC9),Datos!CC9," - ")</f>
        <v xml:space="preserve"> - </v>
      </c>
      <c r="AE9" s="487" t="str">
        <f>IF(ISNUMBER(Datos!EM9),Datos!EM9," - ")</f>
        <v xml:space="preserve"> - </v>
      </c>
      <c r="AF9" s="335" t="str">
        <f>IF(ISNUMBER(IF(J_V="SI",Datos!L9,Datos!L9+Datos!AB9)-IF(Monitorios="SI",Datos!CD9,0)),
                          IF(J_V="SI",Datos!L9,Datos!L9+Datos!AB9)-IF(Monitorios="SI",Datos!CD9,0),
                          " - ")</f>
        <v xml:space="preserve"> - </v>
      </c>
      <c r="AG9" s="337"/>
      <c r="AH9" s="337" t="str">
        <f>IF(ISNUMBER(Datos!AB9),Datos!AB9,"-")</f>
        <v>-</v>
      </c>
      <c r="AI9" s="337" t="str">
        <f>IF(ISNUMBER(Datos!CD9),Datos!CD9,"-")</f>
        <v>-</v>
      </c>
      <c r="AJ9" s="337" t="str">
        <f>IF(ISNUMBER(Datos!EN9),Datos!EN9," - ")</f>
        <v xml:space="preserve"> - </v>
      </c>
      <c r="AK9" s="337"/>
      <c r="AL9" s="482"/>
      <c r="AM9" s="338" t="str">
        <f>IF(ISNUMBER(Datos!R9),Datos!R9," - ")</f>
        <v xml:space="preserve"> - </v>
      </c>
      <c r="AN9" s="337"/>
      <c r="AO9" s="337"/>
      <c r="AP9" s="337"/>
      <c r="AQ9" s="337"/>
      <c r="AR9" s="337"/>
      <c r="AS9" s="337" t="str">
        <f>IF(ISNUMBER(Datos!BV9),Datos!BV9," - ")</f>
        <v xml:space="preserve"> - </v>
      </c>
      <c r="AT9" s="228" t="str">
        <f>IF(ISNUMBER(Datos!CK9),Datos!CK9," - ")</f>
        <v xml:space="preserve"> - </v>
      </c>
      <c r="AU9" s="301" t="str">
        <f>IF(ISNUMBER(Datos!CL9),Datos!CL9," - ")</f>
        <v xml:space="preserve"> - </v>
      </c>
      <c r="AV9" s="230" t="str">
        <f>IF(ISNUMBER(Datos!CM9),Datos!CM9," - ")</f>
        <v xml:space="preserve"> - </v>
      </c>
      <c r="AW9" s="301" t="str">
        <f>IF(ISNUMBER(Datos!DV9),Datos!DV9," - ")</f>
        <v xml:space="preserve"> - </v>
      </c>
      <c r="AX9" s="230" t="str">
        <f>IF(ISNUMBER(Datos!DW9),Datos!DW9," - ")</f>
        <v xml:space="preserve"> - </v>
      </c>
      <c r="AY9" s="301" t="str">
        <f>IF(ISNUMBER(Datos!DX9),Datos!DX9," - ")</f>
        <v xml:space="preserve"> - </v>
      </c>
      <c r="AZ9" s="230" t="str">
        <f>IF(ISNUMBER(Datos!DY9),Datos!DY9," - ")</f>
        <v xml:space="preserve"> - </v>
      </c>
      <c r="BA9" s="301"/>
      <c r="BB9" s="230"/>
      <c r="BC9" s="228" t="str">
        <f>IF(ISNUMBER(Datos!M9),Datos!M9," - ")</f>
        <v xml:space="preserve"> - </v>
      </c>
      <c r="BD9" s="232" t="str">
        <f>IF(ISNUMBER(Datos!N9),Datos!N9," - ")</f>
        <v xml:space="preserve"> - </v>
      </c>
      <c r="BE9" s="232" t="str">
        <f>IF(ISNUMBER(Datos!BW9),Datos!BW9," - ")</f>
        <v xml:space="preserve"> - </v>
      </c>
      <c r="BF9" s="231" t="str">
        <f>IF(ISNUMBER(Datos!BX9),Datos!BX9," - ")</f>
        <v xml:space="preserve"> - </v>
      </c>
      <c r="BG9" s="246" t="str">
        <f>IF(ISNUMBER(IF(J_V="SI",Datos!K9/Datos!J9,(Datos!K9+Datos!AA9)/(Datos!J9+Datos!Z9))),IF(J_V="SI",Datos!K9/Datos!J9,(Datos!K9+Datos!AA9)/(Datos!J9+Datos!Z9))," - ")</f>
        <v xml:space="preserve"> - </v>
      </c>
      <c r="BH9" s="263" t="str">
        <f>IF(ISNUMBER(((IF(J_V="SI",Datos!L9/Datos!K9,(Datos!L9+Datos!AB9)/(Datos!K9+Datos!AA9)))*11)/factor_trimestre),((IF(J_V="SI",Datos!L9/Datos!K9,(Datos!L9+Datos!AB9)/(Datos!K9+Datos!AA9)))*11)/factor_trimestre," - ")</f>
        <v xml:space="preserve"> - </v>
      </c>
      <c r="BI9" s="246"/>
      <c r="BJ9" s="233" t="str">
        <f>IF(ISNUMBER(Datos!CI9/Datos!CJ9),Datos!CI9/Datos!CJ9," - ")</f>
        <v xml:space="preserve"> - </v>
      </c>
      <c r="BK9" s="363" t="str">
        <f>IF(ISNUMBER(Datos!CJ9),Datos!CJ9," - ")</f>
        <v xml:space="preserve"> - </v>
      </c>
      <c r="BL9" s="233" t="str">
        <f>IF(ISNUMBER((J9-AB9+L9)/(F9)),(J9-AB9+L9)/(F9)," - ")</f>
        <v xml:space="preserve"> - </v>
      </c>
      <c r="BM9" s="614" t="str">
        <f>IF(ISNUMBER((Datos!P9-Datos!Q9+Datos!DE9)/(Datos!R9-Datos!P9+Datos!Q9-Datos!DE9)),(Datos!P9-Datos!Q9+Datos!DE9)/(Datos!R9-Datos!P9+Datos!Q9-Datos!DE9)," - ")</f>
        <v xml:space="preserve"> - </v>
      </c>
      <c r="BN9" s="606"/>
      <c r="BO9" s="606"/>
      <c r="BP9" s="269" t="str">
        <f>IF(ISNUMBER(Datos!EV9),Datos!EV9," - ")</f>
        <v xml:space="preserve"> - </v>
      </c>
      <c r="BQ9" s="269" t="str">
        <f>IF(ISNUMBER(Datos!CW9),Datos!CW9," - ")</f>
        <v xml:space="preserve"> - </v>
      </c>
      <c r="BR9" s="269"/>
      <c r="BS9" s="269"/>
      <c r="BT9" s="269">
        <f>Datos!CX9</f>
        <v>0</v>
      </c>
      <c r="BU9" s="483">
        <f>Datos!DU9</f>
        <v>0</v>
      </c>
      <c r="BV9" s="1110">
        <f>Datos!ER9/factor_trimestre</f>
        <v>1200</v>
      </c>
    </row>
    <row r="10" spans="1:74" ht="14.25">
      <c r="A10" s="504">
        <f>Datos!AO10</f>
        <v>1</v>
      </c>
      <c r="B10" s="510" t="s">
        <v>246</v>
      </c>
      <c r="C10" s="7" t="str">
        <f>Datos!A10</f>
        <v>Jdos. Violencia contra la mujer</v>
      </c>
      <c r="D10" s="511"/>
      <c r="E10" s="263">
        <f>IF(ISNUMBER(Datos!AQ10),Datos!AQ10," - ")</f>
        <v>0</v>
      </c>
      <c r="F10" s="228">
        <f>IF(ISNUMBER(Datos!L10+Datos!K10-Datos!J10),Datos!L10+Datos!K10-Datos!J10," - ")</f>
        <v>9</v>
      </c>
      <c r="G10" s="336">
        <f>IF(ISNUMBER(Datos!I10),Datos!I10," - ")</f>
        <v>9</v>
      </c>
      <c r="H10" s="229"/>
      <c r="I10" s="228" t="str">
        <f>IF(ISNUMBER(Datos!DB10),Datos!DB10," - ")</f>
        <v xml:space="preserve"> - </v>
      </c>
      <c r="J10" s="229" t="str">
        <f>IF(ISNUMBER(Datos!DC10),Datos!DC10," - ")</f>
        <v xml:space="preserve"> - </v>
      </c>
      <c r="K10" s="337" t="str">
        <f>IF(ISNUMBER(Datos!DD10),Datos!DD10," - ")</f>
        <v xml:space="preserve"> - </v>
      </c>
      <c r="L10" s="229">
        <f>IF(ISNUMBER(Datos!DF10),Datos!DF10,0)</f>
        <v>0</v>
      </c>
      <c r="M10" s="229">
        <f>IF(ISNUMBER(Datos!DM10),Datos!DM10,0)</f>
        <v>0</v>
      </c>
      <c r="N10" s="337"/>
      <c r="O10" s="337"/>
      <c r="P10" s="337"/>
      <c r="Q10" s="229">
        <f>IF(ISNUMBER(Datos!P10),Datos!P10,0)</f>
        <v>4</v>
      </c>
      <c r="R10" s="229" t="str">
        <f>IF(ISNUMBER(Datos!DE10),Datos!DE10," - ")</f>
        <v xml:space="preserve"> - </v>
      </c>
      <c r="S10" s="351"/>
      <c r="T10" s="351"/>
      <c r="U10" s="229" t="str">
        <f>IF(ISNUMBER(Datos!AS10/1),Datos!AS10/1," - ")</f>
        <v xml:space="preserve"> - </v>
      </c>
      <c r="V10" s="484" t="str">
        <f>IF(ISNUMBER(U10/(Datos!BM10/factor_trimestre)),U10/(Datos!BM10/factor_trimestre)," - ")</f>
        <v xml:space="preserve"> - </v>
      </c>
      <c r="W10" s="229" t="str">
        <f>IF(ISNUMBER(Datos!EO10),Datos!EO10," - ")</f>
        <v xml:space="preserve"> - </v>
      </c>
      <c r="X10" s="994" t="e">
        <f>(W10/Datos!ER10)*factor_trimestre</f>
        <v>#VALUE!</v>
      </c>
      <c r="Y10" s="622"/>
      <c r="Z10" s="228" t="str">
        <f>IF(ISNUMBER(Datos!BY10),Datos!BY10," - ")</f>
        <v xml:space="preserve"> - </v>
      </c>
      <c r="AA10" s="484" t="str">
        <f>IF(ISNUMBER((Z10*factor_trimestre)/DatosB!CN10),(Z10*factor_trimestre)/DatosB!CN10,"-")</f>
        <v>-</v>
      </c>
      <c r="AB10" s="228">
        <f>IF(ISNUMBER(Datos!K10),Datos!K10," - ")</f>
        <v>8</v>
      </c>
      <c r="AC10" s="229">
        <f>IF(ISNUMBER(Datos!Q10),Datos!Q10," - ")</f>
        <v>0</v>
      </c>
      <c r="AD10" s="337"/>
      <c r="AE10" s="487"/>
      <c r="AF10" s="335">
        <f>IF(ISNUMBER(Datos!L10),Datos!L10,"-")</f>
        <v>8</v>
      </c>
      <c r="AG10" s="337"/>
      <c r="AH10" s="337"/>
      <c r="AI10" s="337"/>
      <c r="AJ10" s="337"/>
      <c r="AK10" s="337"/>
      <c r="AL10" s="482"/>
      <c r="AM10" s="338">
        <f>IF(ISNUMBER(Datos!R10),Datos!R10," - ")</f>
        <v>5</v>
      </c>
      <c r="AN10" s="337"/>
      <c r="AO10" s="337"/>
      <c r="AP10" s="337"/>
      <c r="AQ10" s="337"/>
      <c r="AR10" s="337"/>
      <c r="AS10" s="337" t="str">
        <f>IF(ISNUMBER(Datos!BV10),Datos!BV10," - ")</f>
        <v xml:space="preserve"> - </v>
      </c>
      <c r="AT10" s="228" t="str">
        <f>IF(ISNUMBER(Datos!CK10),Datos!CK10," - ")</f>
        <v xml:space="preserve"> - </v>
      </c>
      <c r="AU10" s="301" t="str">
        <f>IF(ISNUMBER(Datos!CL10),Datos!CL10," - ")</f>
        <v xml:space="preserve"> - </v>
      </c>
      <c r="AV10" s="230" t="str">
        <f>IF(ISNUMBER(Datos!CM10),Datos!CM10," - ")</f>
        <v xml:space="preserve"> - </v>
      </c>
      <c r="AW10" s="301" t="str">
        <f>IF(ISNUMBER(Datos!DV10),Datos!DV10," - ")</f>
        <v xml:space="preserve"> - </v>
      </c>
      <c r="AX10" s="230" t="str">
        <f>IF(ISNUMBER(Datos!DW10),Datos!DW10," - ")</f>
        <v xml:space="preserve"> - </v>
      </c>
      <c r="AY10" s="301" t="str">
        <f>IF(ISNUMBER(Datos!DX10),Datos!DX10," - ")</f>
        <v xml:space="preserve"> - </v>
      </c>
      <c r="AZ10" s="230" t="str">
        <f>IF(ISNUMBER(Datos!DY10),Datos!DY10," - ")</f>
        <v xml:space="preserve"> - </v>
      </c>
      <c r="BA10" s="301"/>
      <c r="BB10" s="230"/>
      <c r="BC10" s="228">
        <f>IF(ISNUMBER(Datos!M10),Datos!M10," - ")</f>
        <v>4</v>
      </c>
      <c r="BD10" s="232">
        <f>IF(ISNUMBER(Datos!N10),Datos!N10," - ")</f>
        <v>4</v>
      </c>
      <c r="BE10" s="232" t="str">
        <f>IF(ISNUMBER(Datos!BW10),Datos!BW10," - ")</f>
        <v xml:space="preserve"> - </v>
      </c>
      <c r="BF10" s="231" t="str">
        <f>IF(ISNUMBER(Datos!BX10),Datos!BX10," - ")</f>
        <v xml:space="preserve"> - </v>
      </c>
      <c r="BG10" s="246">
        <f>IF(ISNUMBER(Datos!K10/Datos!J10),Datos!K10/Datos!J10," - ")</f>
        <v>1.1428571428571428</v>
      </c>
      <c r="BH10" s="263">
        <f>IF(ISNUMBER(((Datos!L10/Datos!K10)*11)/factor_trimestre),((Datos!L10/Datos!K10)*11)/factor_trimestre," - ")</f>
        <v>11</v>
      </c>
      <c r="BI10" s="246"/>
      <c r="BJ10" s="233" t="str">
        <f>IF(ISNUMBER(Datos!CI10/Datos!CJ10),Datos!CI10/Datos!CJ10," - ")</f>
        <v xml:space="preserve"> - </v>
      </c>
      <c r="BK10" s="363" t="str">
        <f>IF(ISNUMBER(Datos!CJ10),Datos!CJ10," - ")</f>
        <v xml:space="preserve"> - </v>
      </c>
      <c r="BL10" s="233" t="str">
        <f>IF(ISNUMBER((I10-AB10+L10)/(F10)),(I10-AB10+L10)/(F10)," - ")</f>
        <v xml:space="preserve"> - </v>
      </c>
      <c r="BM10" s="614">
        <f>IF(ISNUMBER((Datos!P10-Datos!Q10+Datos!DE10)/(Datos!R10-Datos!P10+Datos!Q10-Datos!DE10)),(Datos!P10-Datos!Q10+Datos!DE10)/(Datos!R10-Datos!P10+Datos!Q10-Datos!DE10)," - ")</f>
        <v>4</v>
      </c>
      <c r="BN10" s="606"/>
      <c r="BO10" s="606"/>
      <c r="BP10" s="269" t="str">
        <f>IF(ISNUMBER(Datos!EV10),Datos!EV10," - ")</f>
        <v xml:space="preserve"> - </v>
      </c>
      <c r="BQ10" s="269" t="str">
        <f>IF(ISNUMBER(Datos!CW10),Datos!CW10," - ")</f>
        <v xml:space="preserve"> - </v>
      </c>
      <c r="BR10" s="269"/>
      <c r="BS10" s="269"/>
      <c r="BT10" s="269">
        <f>Datos!CX10</f>
        <v>0</v>
      </c>
      <c r="BU10" s="483">
        <f>Datos!DU10</f>
        <v>0</v>
      </c>
      <c r="BV10" s="1110">
        <f>Datos!ER10/factor_trimestre</f>
        <v>1600</v>
      </c>
    </row>
    <row r="11" spans="1:74" ht="14.25">
      <c r="A11" s="504">
        <f>Datos!AO11</f>
        <v>0</v>
      </c>
      <c r="B11" s="510" t="s">
        <v>246</v>
      </c>
      <c r="C11" s="7" t="str">
        <f>Datos!A11</f>
        <v xml:space="preserve">Jdos. Familia                                   </v>
      </c>
      <c r="D11" s="511"/>
      <c r="E11" s="263">
        <f>IF(ISNUMBER(Datos!AQ11),Datos!AQ11," - ")</f>
        <v>0</v>
      </c>
      <c r="F11" s="228" t="str">
        <f>IF(ISNUMBER(AF11+AB11-I11-L11),AF11+AB11-I11-L11," - ")</f>
        <v xml:space="preserve"> - </v>
      </c>
      <c r="G11" s="336" t="str">
        <f>IF(ISNUMBER(IF(J_V="SI",Datos!I11,Datos!I11+Datos!Y11)-IF(Monitorios="SI",Datos!CA11,0)),
                          IF(J_V="SI",Datos!I11,Datos!I11+Datos!Y11)-IF(Monitorios="SI",Datos!CA11,0),
                          " - ")</f>
        <v xml:space="preserve"> - </v>
      </c>
      <c r="H11" s="229"/>
      <c r="I11" s="228" t="str">
        <f>IF(ISNUMBER(Datos!DC11),Datos!DC11," - ")</f>
        <v xml:space="preserve"> - </v>
      </c>
      <c r="J11" s="229" t="str">
        <f>IF(ISNUMBER(Datos!DB11),Datos!DB11," - ")</f>
        <v xml:space="preserve"> - </v>
      </c>
      <c r="K11" s="337" t="str">
        <f>IF(ISNUMBER(Datos!DD11),Datos!DD11," - ")</f>
        <v xml:space="preserve"> - </v>
      </c>
      <c r="L11" s="229">
        <f>IF(ISNUMBER(Datos!DF11),Datos!DF11,0)</f>
        <v>0</v>
      </c>
      <c r="M11" s="229">
        <f>IF(ISNUMBER(Datos!DM11),Datos!DM11,0)</f>
        <v>0</v>
      </c>
      <c r="N11" s="337" t="str">
        <f>IF(ISNUMBER(Datos!Z11),Datos!Z11," - ")</f>
        <v xml:space="preserve"> - </v>
      </c>
      <c r="O11" s="337"/>
      <c r="P11" s="337"/>
      <c r="Q11" s="229">
        <f>IF(ISNUMBER(Datos!P11),Datos!P11,0)</f>
        <v>0</v>
      </c>
      <c r="R11" s="229" t="str">
        <f>IF(ISNUMBER(Datos!DE11),Datos!DE11," - ")</f>
        <v xml:space="preserve"> - </v>
      </c>
      <c r="S11" s="351"/>
      <c r="T11" s="351"/>
      <c r="U11" s="229" t="str">
        <f>IF(ISNUMBER(Datos!AS11/1),Datos!AS11/1," - ")</f>
        <v xml:space="preserve"> - </v>
      </c>
      <c r="V11" s="484" t="str">
        <f>IF(ISNUMBER(U11/(Datos!BM11/factor_trimestre)),U11/(Datos!BM11/factor_trimestre)," - ")</f>
        <v xml:space="preserve"> - </v>
      </c>
      <c r="W11" s="229" t="str">
        <f>IF(ISNUMBER(Datos!EO11),Datos!EO11," - ")</f>
        <v xml:space="preserve"> - </v>
      </c>
      <c r="X11" s="994" t="e">
        <f>(W11/Datos!ER11)*factor_trimestre</f>
        <v>#VALUE!</v>
      </c>
      <c r="Y11" s="622"/>
      <c r="Z11" s="228">
        <f>IF(ISNUMBER(Datos!BY11+Datos!BZ11),Datos!BY11+Datos!BZ11," - ")</f>
        <v>0</v>
      </c>
      <c r="AA11" s="484">
        <f>IF(ISNUMBER((Z11*factor_trimestre)/DatosB!CN11),(Z11*factor_trimestre)/DatosB!CN11,"-")</f>
        <v>0</v>
      </c>
      <c r="AB11" s="228" t="str">
        <f>IF(ISNUMBER(IF(J_V="SI",Datos!K11,Datos!K11+Datos!AA11)-IF(Monitorios="SI",Datos!CC11,0)),
                          IF(J_V="SI",Datos!K11,Datos!K11+Datos!AA11)-IF(Monitorios="SI",Datos!CC11,0),
                          " - ")</f>
        <v xml:space="preserve"> - </v>
      </c>
      <c r="AC11" s="229" t="str">
        <f>IF(ISNUMBER(Datos!Q11),Datos!Q11," - ")</f>
        <v xml:space="preserve"> - </v>
      </c>
      <c r="AD11" s="337"/>
      <c r="AE11" s="487"/>
      <c r="AF11" s="335" t="str">
        <f>IF(ISNUMBER(IF(J_V="SI",Datos!L11,Datos!L11+Datos!AB11)-IF(Monitorios="SI",Datos!CD11,0)),
                          IF(J_V="SI",Datos!L11,Datos!L11+Datos!AB11)-IF(Monitorios="SI",Datos!CD11,0),
                          " - ")</f>
        <v xml:space="preserve"> - </v>
      </c>
      <c r="AG11" s="337"/>
      <c r="AH11" s="337" t="str">
        <f>IF(ISNUMBER(Datos!AB11),Datos!AB11,"-")</f>
        <v>-</v>
      </c>
      <c r="AI11" s="337"/>
      <c r="AJ11" s="337"/>
      <c r="AK11" s="337"/>
      <c r="AL11" s="482"/>
      <c r="AM11" s="338" t="str">
        <f>IF(ISNUMBER(Datos!R11),Datos!R11," - ")</f>
        <v xml:space="preserve"> - </v>
      </c>
      <c r="AN11" s="337"/>
      <c r="AO11" s="337"/>
      <c r="AP11" s="337"/>
      <c r="AQ11" s="337"/>
      <c r="AR11" s="337"/>
      <c r="AS11" s="337" t="str">
        <f>IF(ISNUMBER(Datos!BV11),Datos!BV11," - ")</f>
        <v xml:space="preserve"> - </v>
      </c>
      <c r="AT11" s="228" t="str">
        <f>IF(ISNUMBER(Datos!CK11),Datos!CK11," - ")</f>
        <v xml:space="preserve"> - </v>
      </c>
      <c r="AU11" s="301" t="str">
        <f>IF(ISNUMBER(Datos!CL11),Datos!CL11," - ")</f>
        <v xml:space="preserve"> - </v>
      </c>
      <c r="AV11" s="230" t="str">
        <f>IF(ISNUMBER(Datos!CM11),Datos!CM11," - ")</f>
        <v xml:space="preserve"> - </v>
      </c>
      <c r="AW11" s="301" t="str">
        <f>IF(ISNUMBER(Datos!DV11),Datos!DV11," - ")</f>
        <v xml:space="preserve"> - </v>
      </c>
      <c r="AX11" s="230" t="str">
        <f>IF(ISNUMBER(Datos!DW11),Datos!DW11," - ")</f>
        <v xml:space="preserve"> - </v>
      </c>
      <c r="AY11" s="301" t="str">
        <f>IF(ISNUMBER(Datos!DX11),Datos!DX11," - ")</f>
        <v xml:space="preserve"> - </v>
      </c>
      <c r="AZ11" s="230" t="str">
        <f>IF(ISNUMBER(Datos!DY11),Datos!DY11," - ")</f>
        <v xml:space="preserve"> - </v>
      </c>
      <c r="BA11" s="301"/>
      <c r="BB11" s="230"/>
      <c r="BC11" s="228" t="str">
        <f>IF(ISNUMBER(Datos!M11),Datos!M11," - ")</f>
        <v xml:space="preserve"> - </v>
      </c>
      <c r="BD11" s="232" t="str">
        <f>IF(ISNUMBER(Datos!N11),Datos!N11," - ")</f>
        <v xml:space="preserve"> - </v>
      </c>
      <c r="BE11" s="232" t="str">
        <f>IF(ISNUMBER(Datos!BW11),Datos!BW11," - ")</f>
        <v xml:space="preserve"> - </v>
      </c>
      <c r="BF11" s="231" t="str">
        <f>IF(ISNUMBER(Datos!BX11),Datos!BX11," - ")</f>
        <v xml:space="preserve"> - </v>
      </c>
      <c r="BG11" s="246" t="str">
        <f>IF(ISNUMBER(IF(J_V="SI",Datos!K11/Datos!J11,(Datos!K11+Datos!AA11)/(Datos!J11+Datos!Z11))),IF(J_V="SI",Datos!K11/Datos!J11,(Datos!K11+Datos!AA11)/(Datos!J11+Datos!Z11))," - ")</f>
        <v xml:space="preserve"> - </v>
      </c>
      <c r="BH11" s="263" t="str">
        <f>IF(ISNUMBER(((IF(J_V="SI",Datos!L11/Datos!K11,(Datos!L11+Datos!AB11)/(Datos!K11+Datos!AA11)))*11)/factor_trimestre),((IF(J_V="SI",Datos!L11/Datos!K11,(Datos!L11+Datos!AB11)/(Datos!K11+Datos!AA11)))*11)/factor_trimestre," - ")</f>
        <v xml:space="preserve"> - </v>
      </c>
      <c r="BI11" s="246"/>
      <c r="BJ11" s="233" t="str">
        <f>IF(ISNUMBER(Datos!CI11/Datos!CJ11),Datos!CI11/Datos!CJ11," - ")</f>
        <v xml:space="preserve"> - </v>
      </c>
      <c r="BK11" s="363" t="str">
        <f>IF(ISNUMBER(Datos!CJ11),Datos!CJ11," - ")</f>
        <v xml:space="preserve"> - </v>
      </c>
      <c r="BL11" s="233" t="str">
        <f>IF(ISNUMBER((I11-AB11+L11)/(F11)),(I11-AB11+L11)/(F11)," - ")</f>
        <v xml:space="preserve"> - </v>
      </c>
      <c r="BM11" s="614" t="str">
        <f>IF(ISNUMBER((Datos!P11-Datos!Q11+Datos!DE11)/(Datos!R11-Datos!P11+Datos!Q11-Datos!DE11)),(Datos!P11-Datos!Q11+Datos!DE11)/(Datos!R11-Datos!P11+Datos!Q11-Datos!DE11)," - ")</f>
        <v xml:space="preserve"> - </v>
      </c>
      <c r="BN11" s="606"/>
      <c r="BO11" s="606"/>
      <c r="BP11" s="269" t="str">
        <f>IF(ISNUMBER(Datos!EV11),Datos!EV11," - ")</f>
        <v xml:space="preserve"> - </v>
      </c>
      <c r="BQ11" s="269" t="str">
        <f>IF(ISNUMBER(Datos!CW11),Datos!CW11," - ")</f>
        <v xml:space="preserve"> - </v>
      </c>
      <c r="BR11" s="269"/>
      <c r="BS11" s="269"/>
      <c r="BT11" s="269">
        <f>Datos!CX11</f>
        <v>0</v>
      </c>
      <c r="BU11" s="483">
        <f>Datos!DU11</f>
        <v>0</v>
      </c>
      <c r="BV11" s="1110">
        <f>Datos!ER11/factor_trimestre</f>
        <v>1323</v>
      </c>
    </row>
    <row r="12" spans="1:74" ht="15" thickBot="1">
      <c r="A12" s="504">
        <f>Datos!AO12</f>
        <v>2</v>
      </c>
      <c r="B12" s="510" t="s">
        <v>246</v>
      </c>
      <c r="C12" s="7" t="str">
        <f>Datos!A12</f>
        <v xml:space="preserve">Jdos. 1ª Instª. e Instr.                        </v>
      </c>
      <c r="D12" s="511"/>
      <c r="E12" s="263">
        <f>IF(ISNUMBER(Datos!AQ12),Datos!AQ12," - ")</f>
        <v>2</v>
      </c>
      <c r="F12" s="228" t="str">
        <f>IF(ISNUMBER(AF12+AB12-I12-L12),AF12+AB12-I12-L12," - ")</f>
        <v xml:space="preserve"> - </v>
      </c>
      <c r="G12" s="336" t="str">
        <f>IF(ISNUMBER(IF(J_V="SI",Datos!I12,Datos!I12+Datos!Y12)-IF(Monitorios="SI",Datos!CA12,0)),
                          IF(J_V="SI",Datos!I12,Datos!I12+Datos!Y12)-IF(Monitorios="SI",Datos!CA12,0),
                          " - ")</f>
        <v xml:space="preserve"> - </v>
      </c>
      <c r="H12" s="229"/>
      <c r="I12" s="228" t="str">
        <f>IF(ISNUMBER(Datos!DC12),Datos!DC12," - ")</f>
        <v xml:space="preserve"> - </v>
      </c>
      <c r="J12" s="229" t="str">
        <f>IF(ISNUMBER(Datos!DB12),Datos!DB12," - ")</f>
        <v xml:space="preserve"> - </v>
      </c>
      <c r="K12" s="337" t="str">
        <f>IF(ISNUMBER(Datos!DD12),Datos!DD12," - ")</f>
        <v xml:space="preserve"> - </v>
      </c>
      <c r="L12" s="229">
        <f>IF(ISNUMBER(Datos!DF12),Datos!DF12,0)</f>
        <v>0</v>
      </c>
      <c r="M12" s="229">
        <f>IF(ISNUMBER(Datos!DM12),Datos!DM12,0)</f>
        <v>0</v>
      </c>
      <c r="N12" s="337">
        <f>IF(ISNUMBER(Datos!Z12),Datos!Z12," - ")</f>
        <v>60</v>
      </c>
      <c r="O12" s="337"/>
      <c r="P12" s="337"/>
      <c r="Q12" s="229">
        <f>IF(ISNUMBER(Datos!P12),Datos!P12,0)</f>
        <v>245</v>
      </c>
      <c r="R12" s="229" t="str">
        <f>IF(ISNUMBER(Datos!DE12),Datos!DE12," - ")</f>
        <v xml:space="preserve"> - </v>
      </c>
      <c r="S12" s="351"/>
      <c r="T12" s="351"/>
      <c r="U12" s="229" t="str">
        <f>IF(ISNUMBER(Datos!AS12/1),Datos!AS12/1," - ")</f>
        <v xml:space="preserve"> - </v>
      </c>
      <c r="V12" s="484" t="str">
        <f>IF(ISNUMBER(U12/(Datos!BM12/factor_trimestre)),U12/(Datos!BM12/factor_trimestre)," - ")</f>
        <v xml:space="preserve"> - </v>
      </c>
      <c r="W12" s="229" t="str">
        <f>IF(ISNUMBER(Datos!EO12),Datos!EO12," - ")</f>
        <v xml:space="preserve"> - </v>
      </c>
      <c r="X12" s="994" t="e">
        <f>(W12/Datos!ER12)*factor_trimestre</f>
        <v>#VALUE!</v>
      </c>
      <c r="Y12" s="622" t="str">
        <f>IF(ISNUMBER(Datos!CB12),Datos!CB12," - ")</f>
        <v xml:space="preserve"> - </v>
      </c>
      <c r="Z12" s="228" t="str">
        <f>IF(ISNUMBER(Datos!BY12),Datos!BY12," - ")</f>
        <v xml:space="preserve"> - </v>
      </c>
      <c r="AA12" s="484" t="str">
        <f>IF(ISNUMBER((Z12*factor_trimestre)/DatosB!CN12),(Z12*factor_trimestre)/DatosB!CN12,"-")</f>
        <v>-</v>
      </c>
      <c r="AB12" s="228" t="str">
        <f>IF(ISNUMBER(IF(J_V="SI",Datos!K12,Datos!K12+Datos!AA12)-IF(Monitorios="SI",Datos!CC12,0)),
                          IF(J_V="SI",Datos!K12,Datos!K12+Datos!AA12)-IF(Monitorios="SI",Datos!CC12,0),
                          " - ")</f>
        <v xml:space="preserve"> - </v>
      </c>
      <c r="AC12" s="229">
        <f>IF(ISNUMBER(Datos!Q12),Datos!Q12," - ")</f>
        <v>280</v>
      </c>
      <c r="AD12" s="337" t="str">
        <f>IF(ISNUMBER(Datos!CC12),Datos!CC12," - ")</f>
        <v xml:space="preserve"> - </v>
      </c>
      <c r="AE12" s="487" t="str">
        <f>IF(ISNUMBER(Datos!EM12),Datos!EM12," - ")</f>
        <v xml:space="preserve"> - </v>
      </c>
      <c r="AF12" s="335" t="str">
        <f>IF(ISNUMBER(IF(J_V="SI",Datos!L12,Datos!L12+Datos!AB12)-IF(Monitorios="SI",Datos!CD12,0)),
                          IF(J_V="SI",Datos!L12,Datos!L12+Datos!AB12)-IF(Monitorios="SI",Datos!CD12,0),
                          " - ")</f>
        <v xml:space="preserve"> - </v>
      </c>
      <c r="AG12" s="337"/>
      <c r="AH12" s="337">
        <f>IF(ISNUMBER(Datos!AB12),Datos!AB12,"-")</f>
        <v>21</v>
      </c>
      <c r="AI12" s="337" t="str">
        <f>IF(ISNUMBER(Datos!CD12),Datos!CD12,"-")</f>
        <v>-</v>
      </c>
      <c r="AJ12" s="337" t="str">
        <f>IF(ISNUMBER(Datos!EN12),Datos!EN12," - ")</f>
        <v xml:space="preserve"> - </v>
      </c>
      <c r="AK12" s="337"/>
      <c r="AL12" s="482"/>
      <c r="AM12" s="338">
        <f>IF(ISNUMBER(Datos!R12),Datos!R12," - ")</f>
        <v>1087</v>
      </c>
      <c r="AN12" s="337"/>
      <c r="AO12" s="337"/>
      <c r="AP12" s="337"/>
      <c r="AQ12" s="337"/>
      <c r="AR12" s="337"/>
      <c r="AS12" s="337" t="str">
        <f>IF(ISNUMBER(Datos!BV12),Datos!BV12," - ")</f>
        <v xml:space="preserve"> - </v>
      </c>
      <c r="AT12" s="228" t="str">
        <f>IF(ISNUMBER(Datos!CK12),Datos!CK12," - ")</f>
        <v xml:space="preserve"> - </v>
      </c>
      <c r="AU12" s="301" t="str">
        <f>IF(ISNUMBER(Datos!CL12),Datos!CL12," - ")</f>
        <v xml:space="preserve"> - </v>
      </c>
      <c r="AV12" s="230" t="str">
        <f>IF(ISNUMBER(Datos!CM12),Datos!CM12," - ")</f>
        <v xml:space="preserve"> - </v>
      </c>
      <c r="AW12" s="301" t="str">
        <f>IF(ISNUMBER(Datos!DV12),Datos!DV12," - ")</f>
        <v xml:space="preserve"> - </v>
      </c>
      <c r="AX12" s="230" t="str">
        <f>IF(ISNUMBER(Datos!DW12),Datos!DW12," - ")</f>
        <v xml:space="preserve"> - </v>
      </c>
      <c r="AY12" s="301" t="str">
        <f>IF(ISNUMBER(Datos!DX12),Datos!DX12," - ")</f>
        <v xml:space="preserve"> - </v>
      </c>
      <c r="AZ12" s="230" t="str">
        <f>IF(ISNUMBER(Datos!DY12),Datos!DY12," - ")</f>
        <v xml:space="preserve"> - </v>
      </c>
      <c r="BA12" s="301"/>
      <c r="BB12" s="230"/>
      <c r="BC12" s="228">
        <f>IF(ISNUMBER(Datos!M12),Datos!M12," - ")</f>
        <v>237</v>
      </c>
      <c r="BD12" s="232">
        <f>IF(ISNUMBER(Datos!N12),Datos!N12," - ")</f>
        <v>393</v>
      </c>
      <c r="BE12" s="232" t="str">
        <f>IF(ISNUMBER(Datos!BW12),Datos!BW12," - ")</f>
        <v xml:space="preserve"> - </v>
      </c>
      <c r="BF12" s="231" t="str">
        <f>IF(ISNUMBER(Datos!BX12),Datos!BX12," - ")</f>
        <v xml:space="preserve"> - </v>
      </c>
      <c r="BG12" s="246">
        <f>IF(ISNUMBER(IF(J_V="SI",Datos!K12/Datos!J12,(Datos!K12+Datos!AA12)/(Datos!J12+Datos!Z12))),IF(J_V="SI",Datos!K12/Datos!J12,(Datos!K12+Datos!AA12)/(Datos!J12+Datos!Z12))," - ")</f>
        <v>0.8189338235294118</v>
      </c>
      <c r="BH12" s="263">
        <f>IF(ISNUMBER(((IF(J_V="SI",Datos!L12/Datos!K12,(Datos!L12+Datos!AB12)/(Datos!K12+Datos!AA12)))*11)/factor_trimestre),((IF(J_V="SI",Datos!L12/Datos!K12,(Datos!L12+Datos!AB12)/(Datos!K12+Datos!AA12)))*11)/factor_trimestre," - ")</f>
        <v>8.8148148148148149</v>
      </c>
      <c r="BI12" s="246"/>
      <c r="BJ12" s="233" t="str">
        <f>IF(ISNUMBER(Datos!CI12/Datos!CJ12),Datos!CI12/Datos!CJ12," - ")</f>
        <v xml:space="preserve"> - </v>
      </c>
      <c r="BK12" s="363" t="str">
        <f>IF(ISNUMBER(Datos!CJ12),Datos!CJ12," - ")</f>
        <v xml:space="preserve"> - </v>
      </c>
      <c r="BL12" s="233" t="str">
        <f>IF(ISNUMBER((J12-AB12+L12)/(F12)),(J12-AB12+L12)/(F12)," - ")</f>
        <v xml:space="preserve"> - </v>
      </c>
      <c r="BM12" s="614">
        <f>IF(ISNUMBER((Datos!P12-Datos!Q12+Datos!DE12)/(Datos!R12-Datos!P12+Datos!Q12-Datos!DE12)),(Datos!P12-Datos!Q12+Datos!DE12)/(Datos!R12-Datos!P12+Datos!Q12-Datos!DE12)," - ")</f>
        <v>-3.1194295900178252E-2</v>
      </c>
      <c r="BN12" s="606"/>
      <c r="BO12" s="606"/>
      <c r="BP12" s="269" t="str">
        <f>IF(ISNUMBER(Datos!EV12),Datos!EV12," - ")</f>
        <v xml:space="preserve"> - </v>
      </c>
      <c r="BQ12" s="269" t="str">
        <f>IF(ISNUMBER(Datos!CW12),Datos!CW12," - ")</f>
        <v xml:space="preserve"> - </v>
      </c>
      <c r="BR12" s="269"/>
      <c r="BS12" s="269"/>
      <c r="BT12" s="269">
        <f>Datos!CX12</f>
        <v>0</v>
      </c>
      <c r="BU12" s="483">
        <f>Datos!DU12</f>
        <v>0</v>
      </c>
      <c r="BV12" s="1110">
        <f>Datos!ER12/factor_trimestre</f>
        <v>680</v>
      </c>
    </row>
    <row r="13" spans="1:74" ht="15.75" thickTop="1" thickBot="1">
      <c r="A13" s="181"/>
      <c r="B13" s="181"/>
      <c r="C13" s="866" t="str">
        <f>Datos!A13</f>
        <v>TOTAL</v>
      </c>
      <c r="D13" s="900"/>
      <c r="E13" s="1167">
        <f t="shared" ref="E13:Z13" si="0">SUBTOTAL(9,E8:E12)</f>
        <v>2</v>
      </c>
      <c r="F13" s="901">
        <f t="shared" si="0"/>
        <v>9</v>
      </c>
      <c r="G13" s="901">
        <f t="shared" si="0"/>
        <v>9</v>
      </c>
      <c r="H13" s="902">
        <f t="shared" si="0"/>
        <v>0</v>
      </c>
      <c r="I13" s="901">
        <f t="shared" si="0"/>
        <v>0</v>
      </c>
      <c r="J13" s="870">
        <f t="shared" si="0"/>
        <v>0</v>
      </c>
      <c r="K13" s="870">
        <f t="shared" si="0"/>
        <v>0</v>
      </c>
      <c r="L13" s="902">
        <f t="shared" si="0"/>
        <v>0</v>
      </c>
      <c r="M13" s="902">
        <f t="shared" si="0"/>
        <v>0</v>
      </c>
      <c r="N13" s="902">
        <f t="shared" si="0"/>
        <v>60</v>
      </c>
      <c r="O13" s="903">
        <f t="shared" si="0"/>
        <v>0</v>
      </c>
      <c r="P13" s="903">
        <f t="shared" si="0"/>
        <v>0</v>
      </c>
      <c r="Q13" s="902">
        <f t="shared" si="0"/>
        <v>249</v>
      </c>
      <c r="R13" s="902">
        <f t="shared" si="0"/>
        <v>0</v>
      </c>
      <c r="S13" s="904">
        <f t="shared" si="0"/>
        <v>0</v>
      </c>
      <c r="T13" s="904">
        <f t="shared" si="0"/>
        <v>0</v>
      </c>
      <c r="U13" s="902">
        <f t="shared" si="0"/>
        <v>0</v>
      </c>
      <c r="V13" s="1117">
        <f t="shared" si="0"/>
        <v>0</v>
      </c>
      <c r="W13" s="870">
        <f t="shared" si="0"/>
        <v>0</v>
      </c>
      <c r="X13" s="872" t="e">
        <f t="shared" si="0"/>
        <v>#VALUE!</v>
      </c>
      <c r="Y13" s="903">
        <f t="shared" si="0"/>
        <v>0</v>
      </c>
      <c r="Z13" s="902">
        <f t="shared" si="0"/>
        <v>0</v>
      </c>
      <c r="AA13" s="905">
        <f>IF(ISNUMBER((Z13*factor_trimestre)/Datos!CN13),(Z13*factor_trimestre)/Datos!CN13,"-")</f>
        <v>0</v>
      </c>
      <c r="AB13" s="902">
        <f t="shared" ref="AB13:BF13" si="1">SUBTOTAL(9,AB8:AB12)</f>
        <v>8</v>
      </c>
      <c r="AC13" s="902">
        <f t="shared" si="1"/>
        <v>280</v>
      </c>
      <c r="AD13" s="902">
        <f t="shared" si="1"/>
        <v>0</v>
      </c>
      <c r="AE13" s="902">
        <f t="shared" si="1"/>
        <v>0</v>
      </c>
      <c r="AF13" s="902">
        <f t="shared" si="1"/>
        <v>8</v>
      </c>
      <c r="AG13" s="902">
        <f t="shared" si="1"/>
        <v>0</v>
      </c>
      <c r="AH13" s="902">
        <f t="shared" si="1"/>
        <v>21</v>
      </c>
      <c r="AI13" s="902">
        <f t="shared" si="1"/>
        <v>0</v>
      </c>
      <c r="AJ13" s="902">
        <f t="shared" si="1"/>
        <v>0</v>
      </c>
      <c r="AK13" s="902">
        <f t="shared" si="1"/>
        <v>0</v>
      </c>
      <c r="AL13" s="902">
        <f t="shared" si="1"/>
        <v>0</v>
      </c>
      <c r="AM13" s="902">
        <f t="shared" si="1"/>
        <v>1092</v>
      </c>
      <c r="AN13" s="902">
        <f t="shared" si="1"/>
        <v>0</v>
      </c>
      <c r="AO13" s="902">
        <f t="shared" si="1"/>
        <v>0</v>
      </c>
      <c r="AP13" s="902">
        <f t="shared" si="1"/>
        <v>0</v>
      </c>
      <c r="AQ13" s="902">
        <f t="shared" si="1"/>
        <v>0</v>
      </c>
      <c r="AR13" s="902">
        <f t="shared" si="1"/>
        <v>0</v>
      </c>
      <c r="AS13" s="902">
        <f t="shared" si="1"/>
        <v>0</v>
      </c>
      <c r="AT13" s="902">
        <f t="shared" si="1"/>
        <v>0</v>
      </c>
      <c r="AU13" s="902">
        <f t="shared" si="1"/>
        <v>0</v>
      </c>
      <c r="AV13" s="902">
        <f t="shared" si="1"/>
        <v>0</v>
      </c>
      <c r="AW13" s="902">
        <f t="shared" si="1"/>
        <v>0</v>
      </c>
      <c r="AX13" s="902">
        <f t="shared" si="1"/>
        <v>0</v>
      </c>
      <c r="AY13" s="902">
        <f t="shared" si="1"/>
        <v>0</v>
      </c>
      <c r="AZ13" s="902">
        <f t="shared" si="1"/>
        <v>0</v>
      </c>
      <c r="BA13" s="902">
        <f t="shared" si="1"/>
        <v>0</v>
      </c>
      <c r="BB13" s="902">
        <f t="shared" si="1"/>
        <v>0</v>
      </c>
      <c r="BC13" s="902">
        <f t="shared" si="1"/>
        <v>241</v>
      </c>
      <c r="BD13" s="902">
        <f t="shared" si="1"/>
        <v>397</v>
      </c>
      <c r="BE13" s="902">
        <f t="shared" si="1"/>
        <v>0</v>
      </c>
      <c r="BF13" s="902">
        <f t="shared" si="1"/>
        <v>0</v>
      </c>
      <c r="BG13" s="902">
        <f>IF(ISNUMBER(Datos!K13/Datos!J13),Datos!K13/Datos!J13," - ")</f>
        <v>0.81352657004830919</v>
      </c>
      <c r="BH13" s="906">
        <f>IF(ISNUMBER(((Datos!L13/Datos!K13)*11)/factor_trimestre),((Datos!L13/Datos!K13)*11)/factor_trimestre," - ")</f>
        <v>9.1579572446555826</v>
      </c>
      <c r="BI13" s="902">
        <f>IF(ISNUMBER('Resol  Asuntos'!D13/NºAsuntos!G13),'Resol  Asuntos'!D13/NºAsuntos!G13," - ")</f>
        <v>0.26807563959955505</v>
      </c>
      <c r="BJ13" s="902" t="str">
        <f>IF(ISNUMBER(Datos!CI13/Datos!CJ13),Datos!CI13/Datos!CJ13," - ")</f>
        <v xml:space="preserve"> - </v>
      </c>
      <c r="BK13" s="902">
        <f>SUBTOTAL(9,BK8:BK12)</f>
        <v>0</v>
      </c>
      <c r="BL13" s="902">
        <f>IF(ISNUMBER((I13-AB13+L13)/(F13)),(I13-AB13+L13)/(F13)," - ")</f>
        <v>-0.88888888888888884</v>
      </c>
      <c r="BM13" s="907">
        <f>SUBTOTAL(9,BM9:BM12)</f>
        <v>3.9688057040998217</v>
      </c>
      <c r="BN13" s="902">
        <f t="shared" ref="BN13:BV13" si="2">SUBTOTAL(9,BN8:BN12)</f>
        <v>0</v>
      </c>
      <c r="BO13" s="902">
        <f t="shared" si="2"/>
        <v>0</v>
      </c>
      <c r="BP13" s="902">
        <f t="shared" si="2"/>
        <v>0</v>
      </c>
      <c r="BQ13" s="902">
        <f t="shared" si="2"/>
        <v>0</v>
      </c>
      <c r="BR13" s="902">
        <f t="shared" si="2"/>
        <v>0</v>
      </c>
      <c r="BS13" s="902">
        <f t="shared" si="2"/>
        <v>0</v>
      </c>
      <c r="BT13" s="902">
        <f t="shared" si="2"/>
        <v>0</v>
      </c>
      <c r="BU13" s="902">
        <f t="shared" si="2"/>
        <v>0</v>
      </c>
      <c r="BV13" s="912">
        <f t="shared" si="2"/>
        <v>4803</v>
      </c>
    </row>
    <row r="14" spans="1:74" ht="15" thickTop="1">
      <c r="A14" s="513"/>
      <c r="B14" s="513"/>
      <c r="C14" s="289" t="str">
        <f>Datos!A14</f>
        <v xml:space="preserve">Jurisdicción Penal ( 2 ):                      </v>
      </c>
      <c r="D14" s="514"/>
      <c r="E14" s="515"/>
      <c r="F14" s="516"/>
      <c r="G14" s="516"/>
      <c r="H14" s="502"/>
      <c r="I14" s="501"/>
      <c r="J14" s="220"/>
      <c r="K14" s="220"/>
      <c r="L14" s="502"/>
      <c r="M14" s="229"/>
      <c r="N14" s="240"/>
      <c r="O14" s="502"/>
      <c r="P14" s="502"/>
      <c r="Q14" s="229"/>
      <c r="R14" s="229"/>
      <c r="S14" s="503"/>
      <c r="T14" s="503"/>
      <c r="U14" s="229"/>
      <c r="V14" s="340"/>
      <c r="W14" s="303"/>
      <c r="X14" s="995"/>
      <c r="Y14" s="612"/>
      <c r="Z14" s="228"/>
      <c r="AA14" s="481"/>
      <c r="AB14" s="228"/>
      <c r="AC14" s="229"/>
      <c r="AD14" s="240"/>
      <c r="AE14" s="240"/>
      <c r="AF14" s="501"/>
      <c r="AG14" s="337"/>
      <c r="AH14" s="337"/>
      <c r="AI14" s="337"/>
      <c r="AJ14" s="337"/>
      <c r="AK14" s="337"/>
      <c r="AL14" s="482"/>
      <c r="AM14" s="338"/>
      <c r="AN14" s="337"/>
      <c r="AO14" s="337"/>
      <c r="AP14" s="337"/>
      <c r="AQ14" s="337"/>
      <c r="AR14" s="337"/>
      <c r="AS14" s="337"/>
      <c r="AT14" s="228"/>
      <c r="AU14" s="301"/>
      <c r="AV14" s="230"/>
      <c r="AW14" s="301"/>
      <c r="AX14" s="230"/>
      <c r="AY14" s="301"/>
      <c r="AZ14" s="230"/>
      <c r="BA14" s="301"/>
      <c r="BB14" s="230"/>
      <c r="BC14" s="228"/>
      <c r="BD14" s="232"/>
      <c r="BE14" s="232"/>
      <c r="BF14" s="231"/>
      <c r="BG14" s="246"/>
      <c r="BH14" s="263"/>
      <c r="BI14" s="246"/>
      <c r="BJ14" s="233"/>
      <c r="BK14" s="363"/>
      <c r="BL14" s="233"/>
      <c r="BM14" s="307"/>
      <c r="BN14" s="589"/>
      <c r="BO14" s="589"/>
      <c r="BP14" s="269"/>
      <c r="BQ14" s="269"/>
      <c r="BR14" s="515"/>
      <c r="BS14" s="515"/>
      <c r="BT14" s="269"/>
      <c r="BU14" s="483"/>
      <c r="BV14" s="1111"/>
    </row>
    <row r="15" spans="1:74" s="602" customFormat="1" ht="14.25">
      <c r="A15" s="596">
        <f>Datos!AO15</f>
        <v>0</v>
      </c>
      <c r="B15" s="597" t="s">
        <v>396</v>
      </c>
      <c r="C15" s="603" t="str">
        <f>Datos!A15</f>
        <v xml:space="preserve">Jdos. Instrucción                               </v>
      </c>
      <c r="D15" s="604"/>
      <c r="E15" s="1168">
        <f>IF(ISNUMBER(Datos!AQ15),Datos!AQ15," - ")</f>
        <v>0</v>
      </c>
      <c r="F15" s="598" t="str">
        <f>IF(ISNUMBER(AF15+AB15-Datos!J15-L15),AF15+AB15-Datos!J15-L15," - ")</f>
        <v xml:space="preserve"> - </v>
      </c>
      <c r="G15" s="601" t="str">
        <f>IF(ISNUMBER(IF(D_I="SI",Datos!I15,Datos!I15+Datos!AC15)),IF(D_I="SI",Datos!I15,Datos!I15+Datos!AC15)," - ")</f>
        <v xml:space="preserve"> - </v>
      </c>
      <c r="H15" s="605"/>
      <c r="I15" s="598" t="str">
        <f>IF(ISNUMBER(Datos!DC15),Datos!DC15," - ")</f>
        <v xml:space="preserve"> - </v>
      </c>
      <c r="J15" s="229" t="str">
        <f>IF(ISNUMBER(Datos!DC15),Datos!DC15," - ")</f>
        <v xml:space="preserve"> - </v>
      </c>
      <c r="K15" s="615"/>
      <c r="L15" s="605">
        <f>IF(ISNUMBER(Datos!DF15),Datos!DF15,0)</f>
        <v>0</v>
      </c>
      <c r="M15" s="229">
        <f>IF(ISNUMBER(Datos!DM15),Datos!DM15,0)</f>
        <v>0</v>
      </c>
      <c r="N15" s="337"/>
      <c r="O15" s="615" t="str">
        <f>IF(ISNUMBER(Datos!EB15),Datos!EB15," - ")</f>
        <v xml:space="preserve"> - </v>
      </c>
      <c r="P15" s="615" t="str">
        <f>IF(ISNUMBER(Datos!EC15),Datos!EC15," - ")</f>
        <v xml:space="preserve"> - </v>
      </c>
      <c r="Q15" s="229">
        <f>IF(ISNUMBER(Datos!P15),Datos!P15,0)</f>
        <v>0</v>
      </c>
      <c r="R15" s="229" t="str">
        <f>IF(ISNUMBER(Datos!DE15),Datos!DE15," - ")</f>
        <v xml:space="preserve"> - </v>
      </c>
      <c r="S15" s="625" t="str">
        <f>IF(ISNUMBER(Datos!EB15*factor_trimestre/Datos!EE15),Datos!EB15*factor_trimestre/Datos!EE15," - ")</f>
        <v xml:space="preserve"> - </v>
      </c>
      <c r="T15" s="625" t="str">
        <f>IF(ISNUMBER(Datos!EC15*factor_trimestre/Datos!EF15),Datos!EC15*factor_trimestre/Datos!EF15," - ")</f>
        <v xml:space="preserve"> - </v>
      </c>
      <c r="U15" s="229" t="str">
        <f>IF(ISNUMBER((Datos!AS15+Datos!AT15)),(Datos!AS15+Datos!AT15)," - ")</f>
        <v xml:space="preserve"> - </v>
      </c>
      <c r="V15" s="340" t="str">
        <f>IF(ISNUMBER(U15/(Datos!BM15/factor_trimestre)),U15/(Datos!BM15/factor_trimestre)," - ")</f>
        <v xml:space="preserve"> - </v>
      </c>
      <c r="W15" s="229" t="str">
        <f>IF(ISNUMBER(Datos!EO15),Datos!EO15," - ")</f>
        <v xml:space="preserve"> - </v>
      </c>
      <c r="X15" s="994" t="e">
        <f>(W15/Datos!ER15)*factor_trimestre</f>
        <v>#VALUE!</v>
      </c>
      <c r="Y15" s="623"/>
      <c r="Z15" s="228">
        <f>IF(ISNUMBER(Datos!BY15+Datos!BZ15*1.16),Datos!BY15+Datos!BZ15*1.16," - ")</f>
        <v>0</v>
      </c>
      <c r="AA15" s="340">
        <f>IF(ISNUMBER((Z15*factor_trimestre)/DatosB!CN15),(Z15*factor_trimestre)/DatosB!CN15,"-")</f>
        <v>0</v>
      </c>
      <c r="AB15" s="228" t="str">
        <f>IF(ISNUMBER(IF(D_I="SI",Datos!K15,Datos!K15+Datos!AE15)),IF(D_I="SI",Datos!K15,Datos!K15+Datos!AE15)," - ")</f>
        <v xml:space="preserve"> - </v>
      </c>
      <c r="AC15" s="229" t="str">
        <f>IF(ISNUMBER(Datos!Q15),Datos!Q15," - ")</f>
        <v xml:space="preserve"> - </v>
      </c>
      <c r="AD15" s="337"/>
      <c r="AE15" s="487"/>
      <c r="AF15" s="599" t="str">
        <f>IF(ISNUMBER(IF(D_I="SI",Datos!L15,Datos!L15+Datos!AF15)),IF(D_I="SI",Datos!L15,Datos!L15+Datos!AF15)," - ")</f>
        <v xml:space="preserve"> - </v>
      </c>
      <c r="AG15" s="337"/>
      <c r="AH15" s="337"/>
      <c r="AI15" s="337"/>
      <c r="AJ15" s="337"/>
      <c r="AK15" s="337"/>
      <c r="AL15" s="482"/>
      <c r="AM15" s="338" t="str">
        <f>IF(ISNUMBER(Datos!R15),Datos!R15," - ")</f>
        <v xml:space="preserve"> - </v>
      </c>
      <c r="AN15" s="337"/>
      <c r="AO15" s="337"/>
      <c r="AP15" s="337"/>
      <c r="AQ15" s="337"/>
      <c r="AR15" s="337"/>
      <c r="AS15" s="337" t="str">
        <f>IF(ISNUMBER(Datos!BV15),Datos!BV15," - ")</f>
        <v xml:space="preserve"> - </v>
      </c>
      <c r="AT15" s="228" t="str">
        <f>IF(ISNUMBER(Datos!CK15),Datos!CK15," - ")</f>
        <v xml:space="preserve"> - </v>
      </c>
      <c r="AU15" s="301" t="str">
        <f>IF(ISNUMBER(Datos!CL15),Datos!CL15," - ")</f>
        <v xml:space="preserve"> - </v>
      </c>
      <c r="AV15" s="230" t="str">
        <f>IF(ISNUMBER(Datos!CM15),Datos!CM15," - ")</f>
        <v xml:space="preserve"> - </v>
      </c>
      <c r="AW15" s="301" t="str">
        <f>IF(ISNUMBER(Datos!DV15),Datos!DV15," - ")</f>
        <v xml:space="preserve"> - </v>
      </c>
      <c r="AX15" s="230"/>
      <c r="AY15" s="301"/>
      <c r="AZ15" s="230"/>
      <c r="BA15" s="301"/>
      <c r="BB15" s="230"/>
      <c r="BC15" s="228" t="str">
        <f>IF(ISNUMBER(Datos!M15),Datos!M15," - ")</f>
        <v xml:space="preserve"> - </v>
      </c>
      <c r="BD15" s="232" t="str">
        <f>IF(ISNUMBER(Datos!N15),Datos!N15," - ")</f>
        <v xml:space="preserve"> - </v>
      </c>
      <c r="BE15" s="232" t="str">
        <f>IF(ISNUMBER(Datos!BW15),Datos!BW15," - ")</f>
        <v xml:space="preserve"> - </v>
      </c>
      <c r="BF15" s="231" t="str">
        <f>IF(ISNUMBER(Datos!BX15),Datos!BX15," - ")</f>
        <v xml:space="preserve"> - </v>
      </c>
      <c r="BG15" s="246" t="str">
        <f>IF(ISNUMBER(IF(D_I="SI",Datos!K15/Datos!J15,(Datos!K15+Datos!AE15)/(Datos!J15+Datos!AD15))),IF(D_I="SI",Datos!K15/Datos!J15,(Datos!K15+Datos!AE15)/(Datos!J15+Datos!AD15))," - ")</f>
        <v xml:space="preserve"> - </v>
      </c>
      <c r="BH15" s="263" t="str">
        <f>IF(ISNUMBER(((IF(D_I="SI",Datos!L15/Datos!K15,(Datos!L15+Datos!AF15)/(Datos!K15+Datos!AE15)))*11)/factor_trimestre),((IF(D_I="SI",Datos!L15/Datos!K15,(Datos!L15+Datos!AF15)/(Datos!K15+Datos!AE15)))*11)/factor_trimestre," - ")</f>
        <v xml:space="preserve"> - </v>
      </c>
      <c r="BI15" s="246" t="str">
        <f>IF(ISNUMBER('Resol  Asuntos'!D15/NºAsuntos!G15),'Resol  Asuntos'!D15/NºAsuntos!G15," - ")</f>
        <v xml:space="preserve"> - </v>
      </c>
      <c r="BJ15" s="233" t="str">
        <f>IF(ISNUMBER(Datos!CI15/Datos!CJ15),Datos!CI15/Datos!CJ15," - ")</f>
        <v xml:space="preserve"> - </v>
      </c>
      <c r="BK15" s="363"/>
      <c r="BL15" s="233" t="str">
        <f>IF(ISNUMBER((J15-AB15+L15)/(F15)),(J15-AB15+L15)/(F15)," - ")</f>
        <v xml:space="preserve"> - </v>
      </c>
      <c r="BM15" s="307" t="str">
        <f>IF(ISNUMBER((Datos!P15-Datos!Q15+R15)/(Datos!R15-Datos!P15+Datos!Q15-R15)),(Datos!P15-Datos!Q15+R15)/(Datos!R15-Datos!P15+Datos!Q15-R15)," - ")</f>
        <v xml:space="preserve"> - </v>
      </c>
      <c r="BN15" s="636" t="str">
        <f>IF(ISNUMBER(Datos!CS15),Datos!CS15," - ")</f>
        <v xml:space="preserve"> - </v>
      </c>
      <c r="BO15" s="636" t="str">
        <f>IF(ISNUMBER(Datos!EI15),Datos!EI15," - ")</f>
        <v xml:space="preserve"> - </v>
      </c>
      <c r="BP15" s="269" t="str">
        <f>IF(ISNUMBER(Datos!EV15),Datos!EV15," - ")</f>
        <v xml:space="preserve"> - </v>
      </c>
      <c r="BQ15" s="269" t="str">
        <f>IF(ISNUMBER(Datos!CW15),Datos!CW15," - ")</f>
        <v xml:space="preserve"> - </v>
      </c>
      <c r="BR15" s="600"/>
      <c r="BS15" s="600"/>
      <c r="BT15" s="269">
        <f>Datos!CX15</f>
        <v>0</v>
      </c>
      <c r="BU15" s="483">
        <f>Datos!DU15</f>
        <v>0</v>
      </c>
      <c r="BV15" s="1110">
        <f>Datos!ER15/factor_trimestre</f>
        <v>3300</v>
      </c>
    </row>
    <row r="16" spans="1:74" s="602" customFormat="1" ht="14.25">
      <c r="A16" s="596">
        <f>Datos!AO16</f>
        <v>2</v>
      </c>
      <c r="B16" s="597" t="s">
        <v>396</v>
      </c>
      <c r="C16" s="603" t="str">
        <f>Datos!A16</f>
        <v xml:space="preserve">Jdos. 1ª Instª. e Instr.                        </v>
      </c>
      <c r="D16" s="604"/>
      <c r="E16" s="1168">
        <f>IF(ISNUMBER(Datos!AQ16),Datos!AQ16," - ")</f>
        <v>2</v>
      </c>
      <c r="F16" s="598">
        <f>IF(ISNUMBER(AF16+AB16-Datos!J16-L16),AF16+AB16-Datos!J16-L16," - ")</f>
        <v>206</v>
      </c>
      <c r="G16" s="601">
        <f>IF(ISNUMBER(IF(D_I="SI",Datos!I16,Datos!I16+Datos!AC16)),IF(D_I="SI",Datos!I16,Datos!I16+Datos!AC16)," - ")</f>
        <v>201</v>
      </c>
      <c r="H16" s="605"/>
      <c r="I16" s="598" t="str">
        <f>IF(ISNUMBER(Datos!DC16),Datos!DC16," - ")</f>
        <v xml:space="preserve"> - </v>
      </c>
      <c r="J16" s="229" t="str">
        <f>IF(ISNUMBER(Datos!DC16),Datos!DC16," - ")</f>
        <v xml:space="preserve"> - </v>
      </c>
      <c r="K16" s="615"/>
      <c r="L16" s="605">
        <f>IF(ISNUMBER(Datos!DF16),Datos!DF16,0)</f>
        <v>0</v>
      </c>
      <c r="M16" s="229">
        <f>IF(ISNUMBER(Datos!DM16),Datos!DM16,0)</f>
        <v>0</v>
      </c>
      <c r="N16" s="337"/>
      <c r="O16" s="615"/>
      <c r="P16" s="615"/>
      <c r="Q16" s="229">
        <f>IF(ISNUMBER(Datos!P16),Datos!P16,0)</f>
        <v>32</v>
      </c>
      <c r="R16" s="229" t="str">
        <f>IF(ISNUMBER(Datos!DE16),Datos!DE16," - ")</f>
        <v xml:space="preserve"> - </v>
      </c>
      <c r="S16" s="625"/>
      <c r="T16" s="625"/>
      <c r="U16" s="229" t="str">
        <f>IF(ISNUMBER(Datos!AS16/1),Datos!AS16/1," - ")</f>
        <v xml:space="preserve"> - </v>
      </c>
      <c r="V16" s="340" t="str">
        <f>IF(ISNUMBER(U16/(Datos!BM16/factor_trimestre)),U16/(Datos!BM16/factor_trimestre)," - ")</f>
        <v xml:space="preserve"> - </v>
      </c>
      <c r="W16" s="229" t="str">
        <f>IF(ISNUMBER(Datos!EO16),Datos!EO16," - ")</f>
        <v xml:space="preserve"> - </v>
      </c>
      <c r="X16" s="994" t="e">
        <f>(W16/Datos!ER16)*factor_trimestre</f>
        <v>#VALUE!</v>
      </c>
      <c r="Y16" s="623"/>
      <c r="Z16" s="228" t="str">
        <f>IF(ISNUMBER(Datos!BY16),Datos!BY16," - ")</f>
        <v xml:space="preserve"> - </v>
      </c>
      <c r="AA16" s="340" t="str">
        <f>IF(ISNUMBER((Z16*factor_trimestre)/DatosB!CN16),(Z16*factor_trimestre)/DatosB!CN16,"-")</f>
        <v>-</v>
      </c>
      <c r="AB16" s="228">
        <f>IF(ISNUMBER(IF(D_I="SI",Datos!K16,Datos!K16+Datos!AE16)),IF(D_I="SI",Datos!K16,Datos!K16+Datos!AE16)," - ")</f>
        <v>882</v>
      </c>
      <c r="AC16" s="229">
        <f>IF(ISNUMBER(Datos!Q16),Datos!Q16," - ")</f>
        <v>26</v>
      </c>
      <c r="AD16" s="337"/>
      <c r="AE16" s="487"/>
      <c r="AF16" s="599">
        <f>IF(ISNUMBER(IF(D_I="SI",Datos!L16,Datos!L16+Datos!AF16)),IF(D_I="SI",Datos!L16,Datos!L16+Datos!AF16)," - ")</f>
        <v>263</v>
      </c>
      <c r="AG16" s="337"/>
      <c r="AH16" s="337"/>
      <c r="AI16" s="337"/>
      <c r="AJ16" s="337"/>
      <c r="AK16" s="337"/>
      <c r="AL16" s="482"/>
      <c r="AM16" s="338">
        <f>IF(ISNUMBER(Datos!R16),Datos!R16," - ")</f>
        <v>48</v>
      </c>
      <c r="AN16" s="337"/>
      <c r="AO16" s="337"/>
      <c r="AP16" s="337"/>
      <c r="AQ16" s="337"/>
      <c r="AR16" s="337"/>
      <c r="AS16" s="337" t="str">
        <f>IF(ISNUMBER(Datos!BV16),Datos!BV16," - ")</f>
        <v xml:space="preserve"> - </v>
      </c>
      <c r="AT16" s="228" t="str">
        <f>IF(ISNUMBER(Datos!CK16),Datos!CK16," - ")</f>
        <v xml:space="preserve"> - </v>
      </c>
      <c r="AU16" s="301" t="str">
        <f>IF(ISNUMBER(Datos!CL16),Datos!CL16," - ")</f>
        <v xml:space="preserve"> - </v>
      </c>
      <c r="AV16" s="230" t="str">
        <f>IF(ISNUMBER(Datos!CM16),Datos!CM16," - ")</f>
        <v xml:space="preserve"> - </v>
      </c>
      <c r="AW16" s="301" t="str">
        <f>IF(ISNUMBER(Datos!DV16),Datos!DV16," - ")</f>
        <v xml:space="preserve"> - </v>
      </c>
      <c r="AX16" s="230"/>
      <c r="AY16" s="301"/>
      <c r="AZ16" s="230"/>
      <c r="BA16" s="301"/>
      <c r="BB16" s="230"/>
      <c r="BC16" s="228">
        <f>IF(ISNUMBER(Datos!M16),Datos!M16," - ")</f>
        <v>120</v>
      </c>
      <c r="BD16" s="232">
        <f>IF(ISNUMBER(Datos!N16),Datos!N16," - ")</f>
        <v>521</v>
      </c>
      <c r="BE16" s="232" t="str">
        <f>IF(ISNUMBER(Datos!BW16),Datos!BW16," - ")</f>
        <v xml:space="preserve"> - </v>
      </c>
      <c r="BF16" s="231" t="str">
        <f>IF(ISNUMBER(Datos!BX16),Datos!BX16," - ")</f>
        <v xml:space="preserve"> - </v>
      </c>
      <c r="BG16" s="246">
        <f>IF(ISNUMBER(IF(D_I="SI",Datos!K16/Datos!J16,(Datos!K16+Datos!AE16)/(Datos!J16+Datos!AD16))),IF(D_I="SI",Datos!K16/Datos!J16,(Datos!K16+Datos!AE16)/(Datos!J16+Datos!AD16))," - ")</f>
        <v>0.93929712460063897</v>
      </c>
      <c r="BH16" s="263">
        <f>IF(ISNUMBER(((IF(D_I="SI",Datos!L16/Datos!K16,(Datos!L16+Datos!AF16)/(Datos!K16+Datos!AE16)))*11)/factor_trimestre),((IF(D_I="SI",Datos!L16/Datos!K16,(Datos!L16+Datos!AF16)/(Datos!K16+Datos!AE16)))*11)/factor_trimestre," - ")</f>
        <v>3.2800453514739227</v>
      </c>
      <c r="BI16" s="246">
        <f>IF(ISNUMBER('Resol  Asuntos'!D16/NºAsuntos!G16),'Resol  Asuntos'!D16/NºAsuntos!G16," - ")</f>
        <v>0.1360544217687075</v>
      </c>
      <c r="BJ16" s="233" t="str">
        <f>IF(ISNUMBER(Datos!CI16/Datos!CJ16),Datos!CI16/Datos!CJ16," - ")</f>
        <v xml:space="preserve"> - </v>
      </c>
      <c r="BK16" s="363"/>
      <c r="BL16" s="233" t="str">
        <f>IF(ISNUMBER((J16-AB16+L16)/(F16)),(J16-AB16+L16)/(F16)," - ")</f>
        <v xml:space="preserve"> - </v>
      </c>
      <c r="BM16" s="307" t="str">
        <f>IF(ISNUMBER((Datos!P16-Datos!Q16+R16)/(Datos!R16-Datos!P16+Datos!Q16-R16)),(Datos!P16-Datos!Q16+R16)/(Datos!R16-Datos!P16+Datos!Q16-R16)," - ")</f>
        <v xml:space="preserve"> - </v>
      </c>
      <c r="BN16" s="636" t="str">
        <f>IF(ISNUMBER(Datos!CS16),Datos!CS16," - ")</f>
        <v xml:space="preserve"> - </v>
      </c>
      <c r="BO16" s="636" t="str">
        <f>IF(ISNUMBER(Datos!EI16),Datos!EI16," - ")</f>
        <v xml:space="preserve"> - </v>
      </c>
      <c r="BP16" s="269" t="str">
        <f>IF(ISNUMBER(Datos!EV16),Datos!EV16," - ")</f>
        <v xml:space="preserve"> - </v>
      </c>
      <c r="BQ16" s="269" t="str">
        <f>IF(ISNUMBER(Datos!CW16),Datos!CW16," - ")</f>
        <v xml:space="preserve"> - </v>
      </c>
      <c r="BR16" s="600"/>
      <c r="BS16" s="600"/>
      <c r="BT16" s="269">
        <f>Datos!CX16</f>
        <v>0</v>
      </c>
      <c r="BU16" s="483">
        <f>Datos!DU16</f>
        <v>0</v>
      </c>
      <c r="BV16" s="1110">
        <f>Datos!ER16/factor_trimestre</f>
        <v>1000</v>
      </c>
    </row>
    <row r="17" spans="1:74" ht="15" thickBot="1">
      <c r="A17" s="504">
        <f>Datos!AO17</f>
        <v>1</v>
      </c>
      <c r="B17" s="510" t="s">
        <v>396</v>
      </c>
      <c r="C17" s="7" t="str">
        <f>Datos!A17</f>
        <v>Jdos. Violencia contra la mujer</v>
      </c>
      <c r="D17" s="511"/>
      <c r="E17" s="1028">
        <f>IF(ISNUMBER(Datos!AQ17),Datos!AQ17," - ")</f>
        <v>0</v>
      </c>
      <c r="F17" s="228" t="str">
        <f>IF(ISNUMBER(AF17+AB17-I17-L17),AF17+AB17-I17-L17," - ")</f>
        <v xml:space="preserve"> - </v>
      </c>
      <c r="G17" s="336">
        <f>IF(ISNUMBER(IF(D_I="SI",Datos!I17,Datos!I17+Datos!AC17)),IF(D_I="SI",Datos!I17,Datos!I17+Datos!AC17)," - ")</f>
        <v>10</v>
      </c>
      <c r="H17" s="229"/>
      <c r="I17" s="228" t="str">
        <f>IF(ISNUMBER(Datos!DB17),Datos!DB17," - ")</f>
        <v xml:space="preserve"> - </v>
      </c>
      <c r="J17" s="229" t="str">
        <f>IF(ISNUMBER(Datos!DC17),Datos!DC17," - ")</f>
        <v xml:space="preserve"> - </v>
      </c>
      <c r="K17" s="337"/>
      <c r="L17" s="229">
        <f>IF(ISNUMBER(Datos!DF17),Datos!DF17,0)</f>
        <v>0</v>
      </c>
      <c r="M17" s="229">
        <f>IF(ISNUMBER(Datos!DM17),Datos!DM17,0)</f>
        <v>0</v>
      </c>
      <c r="N17" s="337"/>
      <c r="O17" s="337" t="str">
        <f>IF(ISNUMBER(Datos!EB17),Datos!EB17," - ")</f>
        <v xml:space="preserve"> - </v>
      </c>
      <c r="P17" s="337" t="str">
        <f>IF(ISNUMBER(Datos!EC17),Datos!EC17," - ")</f>
        <v xml:space="preserve"> - </v>
      </c>
      <c r="Q17" s="229">
        <f>IF(ISNUMBER(Datos!P17),Datos!P17,0)</f>
        <v>3</v>
      </c>
      <c r="R17" s="229" t="str">
        <f>IF(ISNUMBER(Datos!DE17),Datos!DE17," - ")</f>
        <v xml:space="preserve"> - </v>
      </c>
      <c r="S17" s="351" t="str">
        <f>IF(ISNUMBER(Datos!EB17*factor_trimestre/Datos!EE17),Datos!EB17*factor_trimestre/Datos!EE17," - ")</f>
        <v xml:space="preserve"> - </v>
      </c>
      <c r="T17" s="351" t="str">
        <f>IF(ISNUMBER(Datos!EC17*factor_trimestre/Datos!EF17),Datos!EC17*factor_trimestre/Datos!EF17," - ")</f>
        <v xml:space="preserve"> - </v>
      </c>
      <c r="U17" s="229" t="str">
        <f>IF(ISNUMBER((Datos!AS17+Datos!AT17)),(Datos!AS17+Datos!AT17)," - ")</f>
        <v xml:space="preserve"> - </v>
      </c>
      <c r="V17" s="484" t="str">
        <f>IF(ISNUMBER(U17/(Datos!BM17/factor_trimestre)),U17/(Datos!BM17/factor_trimestre)," - ")</f>
        <v xml:space="preserve"> - </v>
      </c>
      <c r="W17" s="229" t="str">
        <f>IF(ISNUMBER(Datos!EO17),Datos!EO17," - ")</f>
        <v xml:space="preserve"> - </v>
      </c>
      <c r="X17" s="994" t="e">
        <f>(W17/Datos!ER17)*factor_trimestre</f>
        <v>#VALUE!</v>
      </c>
      <c r="Y17" s="624"/>
      <c r="Z17" s="228" t="str">
        <f>IF(ISNUMBER(Datos!BY17+Datos!BZ17),Datos!BY17+Datos!BZ17," - ")</f>
        <v xml:space="preserve"> - </v>
      </c>
      <c r="AA17" s="484" t="str">
        <f>IF(ISNUMBER((Z17*factor_trimestre)/DatosB!CN17),(Z17*factor_trimestre)/DatosB!CN17,"-")</f>
        <v>-</v>
      </c>
      <c r="AB17" s="228">
        <f>IF(ISNUMBER(IF(D_I="SI",Datos!K17,Datos!K17+Datos!AE17)),IF(D_I="SI",Datos!K17,Datos!K17+Datos!AE17)," - ")</f>
        <v>104</v>
      </c>
      <c r="AC17" s="229">
        <f>IF(ISNUMBER(Datos!Q17),Datos!Q17," - ")</f>
        <v>1</v>
      </c>
      <c r="AD17" s="337"/>
      <c r="AE17" s="487"/>
      <c r="AF17" s="335">
        <f>IF(ISNUMBER(Datos!L17),Datos!L17,"-")</f>
        <v>14</v>
      </c>
      <c r="AG17" s="337"/>
      <c r="AH17" s="337"/>
      <c r="AI17" s="337"/>
      <c r="AJ17" s="337"/>
      <c r="AK17" s="337"/>
      <c r="AL17" s="482"/>
      <c r="AM17" s="338">
        <f>IF(ISNUMBER(Datos!R17),Datos!R17," - ")</f>
        <v>3</v>
      </c>
      <c r="AN17" s="337"/>
      <c r="AO17" s="337"/>
      <c r="AP17" s="337"/>
      <c r="AQ17" s="337"/>
      <c r="AR17" s="337"/>
      <c r="AS17" s="337" t="str">
        <f>IF(ISNUMBER(Datos!BV17),Datos!BV17," - ")</f>
        <v xml:space="preserve"> - </v>
      </c>
      <c r="AT17" s="228" t="str">
        <f>IF(ISNUMBER(Datos!CK17),Datos!CK17," - ")</f>
        <v xml:space="preserve"> - </v>
      </c>
      <c r="AU17" s="301" t="str">
        <f>IF(ISNUMBER(Datos!CL17),Datos!CL17," - ")</f>
        <v xml:space="preserve"> - </v>
      </c>
      <c r="AV17" s="230" t="str">
        <f>IF(ISNUMBER(Datos!CM17),Datos!CM17," - ")</f>
        <v xml:space="preserve"> - </v>
      </c>
      <c r="AW17" s="301" t="str">
        <f>IF(ISNUMBER(Datos!DV17),Datos!DV17," - ")</f>
        <v xml:space="preserve"> - </v>
      </c>
      <c r="AX17" s="230"/>
      <c r="AY17" s="301"/>
      <c r="AZ17" s="230"/>
      <c r="BA17" s="301"/>
      <c r="BB17" s="230"/>
      <c r="BC17" s="228">
        <f>IF(ISNUMBER(Datos!M17),Datos!M17," - ")</f>
        <v>25</v>
      </c>
      <c r="BD17" s="232">
        <f>IF(ISNUMBER(Datos!N17),Datos!N17," - ")</f>
        <v>65</v>
      </c>
      <c r="BE17" s="232" t="str">
        <f>IF(ISNUMBER(Datos!BW17),Datos!BW17," - ")</f>
        <v xml:space="preserve"> - </v>
      </c>
      <c r="BF17" s="231" t="str">
        <f>IF(ISNUMBER(Datos!BX17),Datos!BX17," - ")</f>
        <v xml:space="preserve"> - </v>
      </c>
      <c r="BG17" s="246">
        <f>IF(ISNUMBER(IF(D_I="SI",Datos!K17/Datos!J17,(Datos!K17+Datos!AE17)/(Datos!J17+Datos!AD17))),IF(D_I="SI",Datos!K17/Datos!J17,(Datos!K17+Datos!AE17)/(Datos!J17+Datos!AD17))," - ")</f>
        <v>0.96296296296296291</v>
      </c>
      <c r="BH17" s="263">
        <f>IF(ISNUMBER(((IF(D_I="SI",Datos!L17/Datos!K17,(Datos!L17+Datos!AF17)/(Datos!K17+Datos!AE17)))*11)/factor_trimestre),((IF(D_I="SI",Datos!L17/Datos!K17,(Datos!L17+Datos!AF17)/(Datos!K17+Datos!AE17)))*11)/factor_trimestre," - ")</f>
        <v>1.4807692307692306</v>
      </c>
      <c r="BI17" s="246">
        <f>IF(ISNUMBER('Resol  Asuntos'!D17/NºAsuntos!G17),'Resol  Asuntos'!D17/NºAsuntos!G17," - ")</f>
        <v>0.24038461538461539</v>
      </c>
      <c r="BJ17" s="233" t="str">
        <f>IF(ISNUMBER(Datos!CI17/Datos!CJ17),Datos!CI17/Datos!CJ17," - ")</f>
        <v xml:space="preserve"> - </v>
      </c>
      <c r="BK17" s="363"/>
      <c r="BL17" s="233" t="str">
        <f>IF(ISNUMBER((I17-AB17+L17)/(F17)),(I17-AB17+L17)/(F17)," - ")</f>
        <v xml:space="preserve"> - </v>
      </c>
      <c r="BM17" s="614" t="str">
        <f>IF(ISNUMBER((Datos!P17-Datos!Q17+R17)/(Datos!R17-Datos!P17+Datos!Q17-R17)),(Datos!P17-Datos!Q17+R17)/(Datos!R17-Datos!P17+Datos!Q17-R17)," - ")</f>
        <v xml:space="preserve"> - </v>
      </c>
      <c r="BN17" s="637" t="str">
        <f>IF(ISNUMBER(Datos!CS17),Datos!CS17," - ")</f>
        <v xml:space="preserve"> - </v>
      </c>
      <c r="BO17" s="637" t="str">
        <f>IF(ISNUMBER(Datos!EI17),Datos!EI17," - ")</f>
        <v xml:space="preserve"> - </v>
      </c>
      <c r="BP17" s="269" t="str">
        <f>IF(ISNUMBER(Datos!EV17),Datos!EV17," - ")</f>
        <v xml:space="preserve"> - </v>
      </c>
      <c r="BQ17" s="269" t="str">
        <f>IF(ISNUMBER(Datos!CW17),Datos!CW17," - ")</f>
        <v xml:space="preserve"> - </v>
      </c>
      <c r="BR17" s="269"/>
      <c r="BS17" s="269"/>
      <c r="BT17" s="269">
        <f>Datos!CX17</f>
        <v>0</v>
      </c>
      <c r="BU17" s="483">
        <f>Datos!DU17</f>
        <v>0</v>
      </c>
      <c r="BV17" s="1110">
        <f>Datos!ER17/factor_trimestre</f>
        <v>1600</v>
      </c>
    </row>
    <row r="18" spans="1:74" ht="15.75" thickTop="1" thickBot="1">
      <c r="A18" s="181"/>
      <c r="B18" s="181"/>
      <c r="C18" s="866" t="str">
        <f>Datos!A18</f>
        <v>TOTAL</v>
      </c>
      <c r="D18" s="900"/>
      <c r="E18" s="1167">
        <f>SUBTOTAL(9,E15:E17)</f>
        <v>2</v>
      </c>
      <c r="F18" s="901">
        <f>SUBTOTAL(9,F15:F17)</f>
        <v>206</v>
      </c>
      <c r="G18" s="901">
        <f>SUBTOTAL(9,G15:G17)</f>
        <v>211</v>
      </c>
      <c r="H18" s="902">
        <f>SUBTOTAL(9,H15:H17)</f>
        <v>0</v>
      </c>
      <c r="I18" s="901">
        <f>SUBTOTAL(9,I15:I17)</f>
        <v>0</v>
      </c>
      <c r="J18" s="870">
        <f>SUBTOTAL(9,J14:J17)</f>
        <v>0</v>
      </c>
      <c r="K18" s="870">
        <f>SUBTOTAL(9,K14:K17)</f>
        <v>0</v>
      </c>
      <c r="L18" s="902">
        <f t="shared" ref="L18:V18" si="3">SUBTOTAL(9,L15:L17)</f>
        <v>0</v>
      </c>
      <c r="M18" s="902">
        <f t="shared" si="3"/>
        <v>0</v>
      </c>
      <c r="N18" s="902">
        <f t="shared" si="3"/>
        <v>0</v>
      </c>
      <c r="O18" s="903">
        <f t="shared" si="3"/>
        <v>0</v>
      </c>
      <c r="P18" s="903">
        <f t="shared" si="3"/>
        <v>0</v>
      </c>
      <c r="Q18" s="902">
        <f t="shared" si="3"/>
        <v>35</v>
      </c>
      <c r="R18" s="902">
        <f t="shared" si="3"/>
        <v>0</v>
      </c>
      <c r="S18" s="904">
        <f t="shared" si="3"/>
        <v>0</v>
      </c>
      <c r="T18" s="904">
        <f t="shared" si="3"/>
        <v>0</v>
      </c>
      <c r="U18" s="902">
        <f t="shared" si="3"/>
        <v>0</v>
      </c>
      <c r="V18" s="1117">
        <f t="shared" si="3"/>
        <v>0</v>
      </c>
      <c r="W18" s="867">
        <f>SUBTOTAL(9,W14:W17)</f>
        <v>0</v>
      </c>
      <c r="X18" s="996" t="e">
        <f>SUBTOTAL(9,X14:X17)</f>
        <v>#VALUE!</v>
      </c>
      <c r="Y18" s="903">
        <f>SUBTOTAL(9,Y15:Y17)</f>
        <v>0</v>
      </c>
      <c r="Z18" s="902">
        <f>SUBTOTAL(9,Z15:Z17)</f>
        <v>0</v>
      </c>
      <c r="AA18" s="905" t="str">
        <f>IF(ISNUMBER((Z18*factor_trimestre)/Datos!CN18),(Z18*factor_trimestre)/Datos!CN18,"-")</f>
        <v>-</v>
      </c>
      <c r="AB18" s="902">
        <f t="shared" ref="AB18:BF18" si="4">SUBTOTAL(9,AB15:AB17)</f>
        <v>986</v>
      </c>
      <c r="AC18" s="902">
        <f t="shared" si="4"/>
        <v>27</v>
      </c>
      <c r="AD18" s="902">
        <f t="shared" si="4"/>
        <v>0</v>
      </c>
      <c r="AE18" s="902">
        <f t="shared" si="4"/>
        <v>0</v>
      </c>
      <c r="AF18" s="902">
        <f t="shared" si="4"/>
        <v>277</v>
      </c>
      <c r="AG18" s="902">
        <f t="shared" si="4"/>
        <v>0</v>
      </c>
      <c r="AH18" s="902">
        <f t="shared" si="4"/>
        <v>0</v>
      </c>
      <c r="AI18" s="902">
        <f t="shared" si="4"/>
        <v>0</v>
      </c>
      <c r="AJ18" s="902">
        <f t="shared" si="4"/>
        <v>0</v>
      </c>
      <c r="AK18" s="902">
        <f t="shared" si="4"/>
        <v>0</v>
      </c>
      <c r="AL18" s="902">
        <f t="shared" si="4"/>
        <v>0</v>
      </c>
      <c r="AM18" s="902">
        <f t="shared" si="4"/>
        <v>51</v>
      </c>
      <c r="AN18" s="902">
        <f t="shared" si="4"/>
        <v>0</v>
      </c>
      <c r="AO18" s="902">
        <f t="shared" si="4"/>
        <v>0</v>
      </c>
      <c r="AP18" s="902">
        <f t="shared" si="4"/>
        <v>0</v>
      </c>
      <c r="AQ18" s="902">
        <f t="shared" si="4"/>
        <v>0</v>
      </c>
      <c r="AR18" s="902">
        <f t="shared" si="4"/>
        <v>0</v>
      </c>
      <c r="AS18" s="902">
        <f t="shared" si="4"/>
        <v>0</v>
      </c>
      <c r="AT18" s="902">
        <f t="shared" si="4"/>
        <v>0</v>
      </c>
      <c r="AU18" s="902">
        <f t="shared" si="4"/>
        <v>0</v>
      </c>
      <c r="AV18" s="902">
        <f t="shared" si="4"/>
        <v>0</v>
      </c>
      <c r="AW18" s="902">
        <f t="shared" si="4"/>
        <v>0</v>
      </c>
      <c r="AX18" s="902">
        <f t="shared" si="4"/>
        <v>0</v>
      </c>
      <c r="AY18" s="902">
        <f t="shared" si="4"/>
        <v>0</v>
      </c>
      <c r="AZ18" s="902">
        <f t="shared" si="4"/>
        <v>0</v>
      </c>
      <c r="BA18" s="902">
        <f t="shared" si="4"/>
        <v>0</v>
      </c>
      <c r="BB18" s="902">
        <f t="shared" si="4"/>
        <v>0</v>
      </c>
      <c r="BC18" s="902">
        <f t="shared" si="4"/>
        <v>145</v>
      </c>
      <c r="BD18" s="902">
        <f t="shared" si="4"/>
        <v>586</v>
      </c>
      <c r="BE18" s="902">
        <f t="shared" si="4"/>
        <v>0</v>
      </c>
      <c r="BF18" s="902">
        <f t="shared" si="4"/>
        <v>0</v>
      </c>
      <c r="BG18" s="902">
        <f>IF(ISNUMBER(Datos!K18/Datos!J18),Datos!K18/Datos!J18," - ")</f>
        <v>0.94173829990448898</v>
      </c>
      <c r="BH18" s="906">
        <f>IF(ISNUMBER(((Datos!L18/Datos!K18)*11)/factor_trimestre),((Datos!L18/Datos!K18)*11)/factor_trimestre," - ")</f>
        <v>3.0902636916835702</v>
      </c>
      <c r="BI18" s="902">
        <f>SUBTOTAL(9,BI15:BI17)</f>
        <v>0.37643903715332289</v>
      </c>
      <c r="BJ18" s="902">
        <f>SUBTOTAL(9,BJ15:BJ17)</f>
        <v>0</v>
      </c>
      <c r="BK18" s="902">
        <f>SUBTOTAL(9,BK15:BK17)</f>
        <v>0</v>
      </c>
      <c r="BL18" s="902">
        <f>IF(ISNUMBER((I18-AB18+L18)/(F18)),(I18-AB18+L18)/(F18)," - ")</f>
        <v>-4.7864077669902914</v>
      </c>
      <c r="BM18" s="908">
        <f>IF(ISNUMBER((Datos!P18-Datos!Q18)/(Datos!R18-Datos!P18+Datos!Q18)),(Datos!P18-Datos!Q18)/(Datos!R18-Datos!P18+Datos!Q18)," - ")</f>
        <v>0.18604651162790697</v>
      </c>
      <c r="BN18" s="902">
        <f t="shared" ref="BN18:BV18" si="5">SUBTOTAL(9,BN15:BN17)</f>
        <v>0</v>
      </c>
      <c r="BO18" s="902">
        <f t="shared" si="5"/>
        <v>0</v>
      </c>
      <c r="BP18" s="902">
        <f t="shared" si="5"/>
        <v>0</v>
      </c>
      <c r="BQ18" s="902">
        <f t="shared" si="5"/>
        <v>0</v>
      </c>
      <c r="BR18" s="902">
        <f t="shared" si="5"/>
        <v>0</v>
      </c>
      <c r="BS18" s="902">
        <f t="shared" si="5"/>
        <v>0</v>
      </c>
      <c r="BT18" s="902">
        <f t="shared" si="5"/>
        <v>0</v>
      </c>
      <c r="BU18" s="902">
        <f t="shared" si="5"/>
        <v>0</v>
      </c>
      <c r="BV18" s="912">
        <f t="shared" si="5"/>
        <v>5900</v>
      </c>
    </row>
    <row r="19" spans="1:74" ht="18.75" customHeight="1" thickTop="1" thickBot="1">
      <c r="A19" s="175"/>
      <c r="B19" s="175"/>
      <c r="C19" s="821" t="str">
        <f>Datos!A19</f>
        <v>TOTAL JURISDICCIONES</v>
      </c>
      <c r="D19" s="821"/>
      <c r="E19" s="1169">
        <f t="shared" ref="E19:R19" si="6">SUBTOTAL(9,E9:E18)</f>
        <v>4</v>
      </c>
      <c r="F19" s="823">
        <f t="shared" si="6"/>
        <v>215</v>
      </c>
      <c r="G19" s="823">
        <f t="shared" si="6"/>
        <v>220</v>
      </c>
      <c r="H19" s="825">
        <f t="shared" si="6"/>
        <v>0</v>
      </c>
      <c r="I19" s="823">
        <f t="shared" si="6"/>
        <v>0</v>
      </c>
      <c r="J19" s="825">
        <f t="shared" si="6"/>
        <v>0</v>
      </c>
      <c r="K19" s="825">
        <f t="shared" si="6"/>
        <v>0</v>
      </c>
      <c r="L19" s="884">
        <f t="shared" si="6"/>
        <v>0</v>
      </c>
      <c r="M19" s="884">
        <f t="shared" si="6"/>
        <v>0</v>
      </c>
      <c r="N19" s="884">
        <f t="shared" si="6"/>
        <v>60</v>
      </c>
      <c r="O19" s="884">
        <f t="shared" si="6"/>
        <v>0</v>
      </c>
      <c r="P19" s="884">
        <f t="shared" si="6"/>
        <v>0</v>
      </c>
      <c r="Q19" s="825">
        <f t="shared" si="6"/>
        <v>284</v>
      </c>
      <c r="R19" s="825">
        <f t="shared" si="6"/>
        <v>0</v>
      </c>
      <c r="S19" s="915">
        <f>IF(ISNUMBER(AVERAGE(S8:S18)),AVERAGE(S8:S18),"-")</f>
        <v>0</v>
      </c>
      <c r="T19" s="915">
        <f>IF(ISNUMBER(AVERAGE(T8:T18)),AVERAGE(T8:T18),"-")</f>
        <v>0</v>
      </c>
      <c r="U19" s="825">
        <f>SUBTOTAL(9,U9:U18)</f>
        <v>0</v>
      </c>
      <c r="V19" s="1120">
        <f>IF(ISNUMBER(AVERAGE(V8:V18)),AVERAGE(V8:V18),"-")</f>
        <v>0</v>
      </c>
      <c r="W19" s="883">
        <f>SUBTOTAL(9,W9:W18)</f>
        <v>0</v>
      </c>
      <c r="X19" s="1120" t="str">
        <f>IF(ISNUMBER(AVERAGE(X8:X18)),AVERAGE(X8:X18),"-")</f>
        <v>-</v>
      </c>
      <c r="Y19" s="916">
        <f>SUBTOTAL(9,Y9:Y18)</f>
        <v>0</v>
      </c>
      <c r="Z19" s="834">
        <f>SUBTOTAL(9,Z9:Z18)</f>
        <v>0</v>
      </c>
      <c r="AA19" s="917">
        <f>IF(ISNUMBER(AVERAGE(AA8:AA18)),AVERAGE(AA8:AA18),"-")</f>
        <v>0</v>
      </c>
      <c r="AB19" s="824">
        <f t="shared" ref="AB19:BF19" si="7">SUBTOTAL(9,AB9:AB18)</f>
        <v>994</v>
      </c>
      <c r="AC19" s="824">
        <f t="shared" si="7"/>
        <v>307</v>
      </c>
      <c r="AD19" s="824">
        <f t="shared" si="7"/>
        <v>0</v>
      </c>
      <c r="AE19" s="824">
        <f t="shared" si="7"/>
        <v>0</v>
      </c>
      <c r="AF19" s="831">
        <f t="shared" si="7"/>
        <v>285</v>
      </c>
      <c r="AG19" s="831">
        <f t="shared" si="7"/>
        <v>0</v>
      </c>
      <c r="AH19" s="831">
        <f t="shared" si="7"/>
        <v>21</v>
      </c>
      <c r="AI19" s="831">
        <f t="shared" si="7"/>
        <v>0</v>
      </c>
      <c r="AJ19" s="824">
        <f t="shared" si="7"/>
        <v>0</v>
      </c>
      <c r="AK19" s="831">
        <f t="shared" si="7"/>
        <v>0</v>
      </c>
      <c r="AL19" s="831">
        <f t="shared" si="7"/>
        <v>0</v>
      </c>
      <c r="AM19" s="831">
        <f t="shared" si="7"/>
        <v>1143</v>
      </c>
      <c r="AN19" s="832">
        <f t="shared" si="7"/>
        <v>0</v>
      </c>
      <c r="AO19" s="832">
        <f t="shared" si="7"/>
        <v>0</v>
      </c>
      <c r="AP19" s="832">
        <f t="shared" si="7"/>
        <v>0</v>
      </c>
      <c r="AQ19" s="832">
        <f t="shared" si="7"/>
        <v>0</v>
      </c>
      <c r="AR19" s="832">
        <f t="shared" si="7"/>
        <v>0</v>
      </c>
      <c r="AS19" s="833">
        <f t="shared" si="7"/>
        <v>0</v>
      </c>
      <c r="AT19" s="834">
        <f t="shared" si="7"/>
        <v>0</v>
      </c>
      <c r="AU19" s="835">
        <f t="shared" si="7"/>
        <v>0</v>
      </c>
      <c r="AV19" s="833">
        <f t="shared" si="7"/>
        <v>0</v>
      </c>
      <c r="AW19" s="833">
        <f t="shared" si="7"/>
        <v>0</v>
      </c>
      <c r="AX19" s="833">
        <f t="shared" si="7"/>
        <v>0</v>
      </c>
      <c r="AY19" s="833">
        <f t="shared" si="7"/>
        <v>0</v>
      </c>
      <c r="AZ19" s="833">
        <f t="shared" si="7"/>
        <v>0</v>
      </c>
      <c r="BA19" s="835">
        <f t="shared" si="7"/>
        <v>0</v>
      </c>
      <c r="BB19" s="823">
        <f t="shared" si="7"/>
        <v>0</v>
      </c>
      <c r="BC19" s="823">
        <f t="shared" si="7"/>
        <v>386</v>
      </c>
      <c r="BD19" s="823">
        <f t="shared" si="7"/>
        <v>983</v>
      </c>
      <c r="BE19" s="823">
        <f t="shared" si="7"/>
        <v>0</v>
      </c>
      <c r="BF19" s="833">
        <f t="shared" si="7"/>
        <v>0</v>
      </c>
      <c r="BG19" s="918">
        <f>IF(ISNUMBER(Datos!K19/Datos!J19),Datos!K19/Datos!J19," - ")</f>
        <v>0.87800192122958698</v>
      </c>
      <c r="BH19" s="918">
        <f>IF(ISNUMBER(((Datos!L19/Datos!K19)*11)/factor_trimestre),((Datos!L19/Datos!K19)*11)/factor_trimestre," - ")</f>
        <v>5.8851203501094096</v>
      </c>
      <c r="BI19" s="816">
        <f>IF(ISNUMBER(Datos!J19/Datos!I19),Datos!J19/Datos!I19," - ")</f>
        <v>2.8956884561891516</v>
      </c>
      <c r="BJ19" s="919" t="str">
        <f>IF(ISNUMBER(Datos!CI19/Datos!CJ19),Datos!CI19/Datos!CJ19," - ")</f>
        <v xml:space="preserve"> - </v>
      </c>
      <c r="BK19" s="920">
        <f>SUBTOTAL(9,BK9:BK18)</f>
        <v>0</v>
      </c>
      <c r="BL19" s="847">
        <f>IF(OR(ISNUMBER(FIND("01",Criterios!A8,1)),ISNUMBER(FIND("02",Criterios!A8,1)),ISNUMBER(FIND("03",Criterios!A8,1)),ISNUMBER(FIND("04",Criterios!A8,1))),(J19-AB19+L19)/(F19-L19),(I19-AB19+L19)/(F19-L19))</f>
        <v>-4.6232558139534881</v>
      </c>
      <c r="BM19" s="892">
        <f>IF(ISNUMBER((Datos!P19-Datos!Q19+R19)/(Datos!R19-Datos!P19+Datos!Q19-R19)),(Datos!P19-Datos!Q19+R19)/(Datos!R19-Datos!P19+Datos!Q19-R19)," - ")</f>
        <v>-1.9725557461406518E-2</v>
      </c>
      <c r="BN19" s="921">
        <f t="shared" ref="BN19:BV19" si="8">SUBTOTAL(9,BN9:BN18)</f>
        <v>0</v>
      </c>
      <c r="BO19" s="921">
        <f t="shared" si="8"/>
        <v>0</v>
      </c>
      <c r="BP19" s="883">
        <f t="shared" si="8"/>
        <v>0</v>
      </c>
      <c r="BQ19" s="883">
        <f t="shared" si="8"/>
        <v>0</v>
      </c>
      <c r="BR19" s="883">
        <f t="shared" si="8"/>
        <v>0</v>
      </c>
      <c r="BS19" s="883">
        <f t="shared" si="8"/>
        <v>0</v>
      </c>
      <c r="BT19" s="883">
        <f t="shared" si="8"/>
        <v>0</v>
      </c>
      <c r="BU19" s="883">
        <f t="shared" si="8"/>
        <v>0</v>
      </c>
      <c r="BV19" s="1112">
        <f t="shared" si="8"/>
        <v>10703</v>
      </c>
    </row>
    <row r="20" spans="1:74" ht="18.75" customHeight="1" thickTop="1" thickBot="1">
      <c r="A20" s="170"/>
      <c r="B20" s="170"/>
      <c r="C20" s="841" t="s">
        <v>264</v>
      </c>
      <c r="D20" s="923"/>
      <c r="E20" s="1170">
        <f ca="1">IF(ISNUMBER(SUMIF($B8:$B18,$B20,E8:E18)/INDIRECT("Datos!AP"&amp;ROW()-1)),SUMIF($B8:$B18,$B20,E8:E18)/INDIRECT("Datos!AP"&amp;ROW()-1),"-")</f>
        <v>0</v>
      </c>
      <c r="F20" s="816">
        <f ca="1">IF(ISNUMBER(SUMIF($B8:$B18,$B20,F8:F18)/INDIRECT("Datos!AP"&amp;ROW()-1)),SUMIF($B8:$B18,$B20,F8:F18)/INDIRECT("Datos!AP"&amp;ROW()-1),"-")</f>
        <v>0</v>
      </c>
      <c r="G20" s="826">
        <f>IF(ISNUMBER(AVERAGE(G8:G18)),AVERAGE(G8:G18),"-")</f>
        <v>88</v>
      </c>
      <c r="H20" s="818">
        <f t="shared" ref="H20:AN20" ca="1" si="9">IF(ISNUMBER(SUMIF($B8:$B18,$B20,H8:H18)/INDIRECT("Datos!AP"&amp;ROW()-1)),SUMIF($B8:$B18,$B20,H8:H18)/INDIRECT("Datos!AP"&amp;ROW()-1),"-")</f>
        <v>0</v>
      </c>
      <c r="I20" s="816">
        <f t="shared" ca="1" si="9"/>
        <v>0</v>
      </c>
      <c r="J20" s="818">
        <f t="shared" ca="1" si="9"/>
        <v>0</v>
      </c>
      <c r="K20" s="818">
        <f t="shared" ca="1" si="9"/>
        <v>0</v>
      </c>
      <c r="L20" s="818">
        <f t="shared" ca="1" si="9"/>
        <v>0</v>
      </c>
      <c r="M20" s="818">
        <f t="shared" ca="1" si="9"/>
        <v>0</v>
      </c>
      <c r="N20" s="818">
        <f t="shared" ca="1" si="9"/>
        <v>0</v>
      </c>
      <c r="O20" s="818">
        <f t="shared" ca="1" si="9"/>
        <v>0</v>
      </c>
      <c r="P20" s="818">
        <f t="shared" ca="1" si="9"/>
        <v>0</v>
      </c>
      <c r="Q20" s="818">
        <f t="shared" ca="1" si="9"/>
        <v>0</v>
      </c>
      <c r="R20" s="818">
        <f t="shared" ca="1" si="9"/>
        <v>0</v>
      </c>
      <c r="S20" s="924">
        <f t="shared" ca="1" si="9"/>
        <v>0</v>
      </c>
      <c r="T20" s="924">
        <f t="shared" ca="1" si="9"/>
        <v>0</v>
      </c>
      <c r="U20" s="818">
        <f t="shared" ca="1" si="9"/>
        <v>0</v>
      </c>
      <c r="V20" s="998">
        <f t="shared" ca="1" si="9"/>
        <v>0</v>
      </c>
      <c r="W20" s="818">
        <f t="shared" ca="1" si="9"/>
        <v>0</v>
      </c>
      <c r="X20" s="998">
        <f t="shared" ca="1" si="9"/>
        <v>0</v>
      </c>
      <c r="Y20" s="925">
        <f t="shared" ca="1" si="9"/>
        <v>0</v>
      </c>
      <c r="Z20" s="846">
        <f t="shared" ca="1" si="9"/>
        <v>0</v>
      </c>
      <c r="AA20" s="844">
        <f t="shared" ca="1" si="9"/>
        <v>0</v>
      </c>
      <c r="AB20" s="817">
        <f t="shared" ca="1" si="9"/>
        <v>0</v>
      </c>
      <c r="AC20" s="817">
        <f t="shared" ca="1" si="9"/>
        <v>0</v>
      </c>
      <c r="AD20" s="817">
        <f t="shared" ca="1" si="9"/>
        <v>0</v>
      </c>
      <c r="AE20" s="817">
        <f t="shared" ca="1" si="9"/>
        <v>0</v>
      </c>
      <c r="AF20" s="817">
        <f t="shared" ca="1" si="9"/>
        <v>0</v>
      </c>
      <c r="AG20" s="817">
        <f t="shared" ca="1" si="9"/>
        <v>0</v>
      </c>
      <c r="AH20" s="817">
        <f t="shared" ca="1" si="9"/>
        <v>0</v>
      </c>
      <c r="AI20" s="817">
        <f t="shared" ca="1" si="9"/>
        <v>0</v>
      </c>
      <c r="AJ20" s="817">
        <f t="shared" ca="1" si="9"/>
        <v>0</v>
      </c>
      <c r="AK20" s="817">
        <f t="shared" ca="1" si="9"/>
        <v>0</v>
      </c>
      <c r="AL20" s="817">
        <f t="shared" ca="1" si="9"/>
        <v>0</v>
      </c>
      <c r="AM20" s="817">
        <f t="shared" ca="1" si="9"/>
        <v>0</v>
      </c>
      <c r="AN20" s="845">
        <f t="shared" ca="1" si="9"/>
        <v>0</v>
      </c>
      <c r="AO20" s="845">
        <f ca="1">IF(ISNUMBER(SUMIF($B8:$B18,$B20,AN8:AN18)/INDIRECT("Datos!AP"&amp;ROW()-1)),SUMIF($B8:$B18,$B20,AN8:AN18)/INDIRECT("Datos!AP"&amp;ROW()-1),"-")</f>
        <v>0</v>
      </c>
      <c r="AP20" s="845">
        <f t="shared" ref="AP20:BI20" ca="1" si="10">IF(ISNUMBER(SUMIF($B8:$B18,$B20,AP8:AP18)/INDIRECT("Datos!AP"&amp;ROW()-1)),SUMIF($B8:$B18,$B20,AP8:AP18)/INDIRECT("Datos!AP"&amp;ROW()-1),"-")</f>
        <v>0</v>
      </c>
      <c r="AQ20" s="845">
        <f t="shared" ca="1" si="10"/>
        <v>0</v>
      </c>
      <c r="AR20" s="845">
        <f t="shared" ca="1" si="10"/>
        <v>0</v>
      </c>
      <c r="AS20" s="818">
        <f t="shared" ca="1" si="10"/>
        <v>0</v>
      </c>
      <c r="AT20" s="846">
        <f t="shared" ca="1" si="10"/>
        <v>0</v>
      </c>
      <c r="AU20" s="845">
        <f t="shared" ca="1" si="10"/>
        <v>0</v>
      </c>
      <c r="AV20" s="818">
        <f t="shared" ca="1" si="10"/>
        <v>0</v>
      </c>
      <c r="AW20" s="926">
        <f t="shared" ca="1" si="10"/>
        <v>0</v>
      </c>
      <c r="AX20" s="926">
        <f t="shared" ca="1" si="10"/>
        <v>0</v>
      </c>
      <c r="AY20" s="926">
        <f t="shared" ca="1" si="10"/>
        <v>0</v>
      </c>
      <c r="AZ20" s="926">
        <f t="shared" ca="1" si="10"/>
        <v>0</v>
      </c>
      <c r="BA20" s="845">
        <f t="shared" ca="1" si="10"/>
        <v>0</v>
      </c>
      <c r="BB20" s="816">
        <f t="shared" ca="1" si="10"/>
        <v>0</v>
      </c>
      <c r="BC20" s="816">
        <f t="shared" ca="1" si="10"/>
        <v>0</v>
      </c>
      <c r="BD20" s="816">
        <f t="shared" ca="1" si="10"/>
        <v>0</v>
      </c>
      <c r="BE20" s="816">
        <f t="shared" ca="1" si="10"/>
        <v>0</v>
      </c>
      <c r="BF20" s="818">
        <f t="shared" ca="1" si="10"/>
        <v>0</v>
      </c>
      <c r="BG20" s="818">
        <f t="shared" ca="1" si="10"/>
        <v>0</v>
      </c>
      <c r="BH20" s="818">
        <f t="shared" ca="1" si="10"/>
        <v>0</v>
      </c>
      <c r="BI20" s="816">
        <f t="shared" ca="1" si="10"/>
        <v>0</v>
      </c>
      <c r="BJ20" s="927" t="e">
        <f ca="1">INDIRECT("Datos!CI"&amp;ROW()-1)/INDIRECT("Datos!CJ"&amp;ROW()-1)</f>
        <v>#DIV/0!</v>
      </c>
      <c r="BK20" s="928">
        <f ca="1">IF(ISNUMBER(SUMIF($B8:$B18,$B20,BK8:BK18)/INDIRECT("Datos!AP"&amp;ROW()-1)),SUMIF($B8:$B18,$B20,BK8:BK18)/INDIRECT("Datos!AP"&amp;ROW()-1),"-")</f>
        <v>0</v>
      </c>
      <c r="BL20" s="847" t="e">
        <f ca="1">IF(OR(ISNUMBER(FIND("01",Criterios!A8,1)),ISNUMBER(FIND("02",Criterios!A8,1)),ISNUMBER(FIND("03",Criterios!A8,1)),ISNUMBER(FIND("04",Criterios!A8,1))),(J20-AB20+L20)/(F20-L20),(I20-AB20+L20)/(F20-L20))</f>
        <v>#DIV/0!</v>
      </c>
      <c r="BM20" s="897">
        <f t="shared" ref="BM20:BS20" ca="1" si="11">IF(ISNUMBER(SUMIF($B8:$B18,$B20,BM8:BM18)/INDIRECT("Datos!AP"&amp;ROW()-1)),SUMIF($B8:$B18,$B20,BM8:BM18)/INDIRECT("Datos!AP"&amp;ROW()-1),"-")</f>
        <v>0</v>
      </c>
      <c r="BN20" s="929">
        <f t="shared" ca="1" si="11"/>
        <v>0</v>
      </c>
      <c r="BO20" s="929">
        <f t="shared" ca="1" si="11"/>
        <v>0</v>
      </c>
      <c r="BP20" s="893">
        <f t="shared" ca="1" si="11"/>
        <v>0</v>
      </c>
      <c r="BQ20" s="893">
        <f t="shared" ca="1" si="11"/>
        <v>0</v>
      </c>
      <c r="BR20" s="893">
        <f t="shared" ca="1" si="11"/>
        <v>0</v>
      </c>
      <c r="BS20" s="893">
        <f t="shared" ca="1" si="11"/>
        <v>0</v>
      </c>
      <c r="BT20" s="893"/>
      <c r="BU20" s="893"/>
      <c r="BV20" s="819"/>
    </row>
    <row r="21" spans="1:74" ht="18.75" hidden="1" customHeight="1" thickTop="1" thickBot="1">
      <c r="A21" s="171"/>
      <c r="B21" s="171"/>
      <c r="C21" s="171" t="s">
        <v>265</v>
      </c>
      <c r="D21" s="485"/>
      <c r="E21" s="520">
        <f>IF(ISNUMBER(STDEV(E8:E18)),STDEV(E8:E18),"-")</f>
        <v>1.0540925533894598</v>
      </c>
      <c r="F21" s="554">
        <f>IF(ISNUMBER(STDEV(F8:F18)),STDEV(F8:F18),"-")</f>
        <v>113.73800303035628</v>
      </c>
      <c r="G21" s="555">
        <f>IF(ISNUMBER(STDEV(G8:G18)),STDEV(G8:G18),"-")</f>
        <v>107.77754868245984</v>
      </c>
      <c r="H21" s="556"/>
      <c r="I21" s="554">
        <f>IF(ISNUMBER(STDEV(I8:I18)),STDEV(I8:I18),"-")</f>
        <v>0</v>
      </c>
      <c r="J21" s="257">
        <f>IF(ISNUMBER(STDEV(J8:J18)),STDEV(J8:J18),"-")</f>
        <v>0</v>
      </c>
      <c r="K21" s="285"/>
      <c r="L21" s="556"/>
      <c r="M21" s="556"/>
      <c r="N21" s="556"/>
      <c r="O21" s="556"/>
      <c r="P21" s="556"/>
      <c r="Q21" s="556"/>
      <c r="R21" s="556"/>
      <c r="S21" s="557"/>
      <c r="T21" s="557"/>
      <c r="U21" s="556"/>
      <c r="V21" s="1121"/>
      <c r="W21" s="304"/>
      <c r="X21" s="999"/>
      <c r="Y21" s="633"/>
      <c r="Z21" s="554">
        <f>IF(ISNUMBER(STDEV(Z8:Z18)),STDEV(Z8:Z18),"-")</f>
        <v>0</v>
      </c>
      <c r="AA21" s="557">
        <f>IF(ISNUMBER(STDEV(AA8:AA18)),STDEV(AA8:AA18),"-")</f>
        <v>0</v>
      </c>
      <c r="AB21" s="556">
        <f>IF(ISNUMBER(STDEV(AB8:AB18)),STDEV(AB8:AB18),"-")</f>
        <v>492.60410067314706</v>
      </c>
      <c r="AC21" s="558"/>
      <c r="AD21" s="558"/>
      <c r="AE21" s="558"/>
      <c r="AF21" s="558"/>
      <c r="AG21" s="558"/>
      <c r="AH21" s="558"/>
      <c r="AI21" s="558"/>
      <c r="AJ21" s="558"/>
      <c r="AK21" s="558"/>
      <c r="AL21" s="558"/>
      <c r="AM21" s="558"/>
      <c r="AN21" s="558"/>
      <c r="AO21" s="558"/>
      <c r="AP21" s="558"/>
      <c r="AQ21" s="558"/>
      <c r="AR21" s="558"/>
      <c r="AS21" s="559">
        <f>IF(ISNUMBER(STDEV(AS8:AS18)),STDEV(AS8:AS18),"-")</f>
        <v>0</v>
      </c>
      <c r="AT21" s="560">
        <f>IF(ISNUMBER(STDEV(AT8:AT18)),STDEV(AT8:AT18),"-")</f>
        <v>0</v>
      </c>
      <c r="AU21" s="558">
        <f>IF(ISNUMBER(STDEV(AU8:AU18)),STDEV(AU8:AU18),"-")</f>
        <v>0</v>
      </c>
      <c r="AV21" s="561"/>
      <c r="AW21" s="561"/>
      <c r="AX21" s="561"/>
      <c r="AY21" s="561"/>
      <c r="AZ21" s="561"/>
      <c r="BA21" s="558">
        <f>IF(ISNUMBER(STDEV(BA8:BA18)),STDEV(BA8:BA18),"-")</f>
        <v>0</v>
      </c>
      <c r="BB21" s="301"/>
      <c r="BC21" s="554">
        <f>IF(ISNUMBER(STDEV(BC8:BC18)),STDEV(BC8:BC18),"-")</f>
        <v>100.98052617542982</v>
      </c>
      <c r="BD21" s="554"/>
      <c r="BE21" s="554">
        <f>IF(ISNUMBER(STDEV(BE8:BE18)),STDEV(BE8:BE18),"-")</f>
        <v>0</v>
      </c>
      <c r="BF21" s="559">
        <f>IF(ISNUMBER(STDEV(BF8:BF18)),STDEV(BF8:BF18),"-")</f>
        <v>0</v>
      </c>
      <c r="BG21" s="778">
        <f>IF(ISNUMBER(STDEV(BG8:BG18)),STDEV(BG8:BG18),"-")</f>
        <v>0.12021903027242321</v>
      </c>
      <c r="BH21" s="779">
        <f>IF(ISNUMBER(STDEV(BH8:BH18)),STDEV(BH8:BH18),"-")</f>
        <v>3.9767051753514786</v>
      </c>
      <c r="BI21" s="252">
        <f>IF(ISNUMBER(STDEV(BI8:BI18)),STDEV(BI8:BI18),"-")</f>
        <v>9.8792450371712859E-2</v>
      </c>
      <c r="BJ21" s="233" t="str">
        <f>IF(ISNUMBER(BL21/BM21),BL21/BM21," - ")</f>
        <v xml:space="preserve"> - </v>
      </c>
      <c r="BK21" s="578"/>
      <c r="BL21" s="562">
        <f>IF(ISNUMBER(STDEV(BL8:BL18)),STDEV(BL8:BL18),"-")</f>
        <v>2.7559620285080872</v>
      </c>
      <c r="BM21" s="563"/>
      <c r="BN21" s="590"/>
      <c r="BO21" s="590"/>
      <c r="BP21" s="564">
        <f>IF(ISNUMBER(STDEV(BP8:BP18)),STDEV(BP8:BP18),"-")</f>
        <v>0</v>
      </c>
      <c r="BQ21" s="564">
        <f>IF(ISNUMBER(STDEV(BQ8:BQ18)),STDEV(BQ8:BQ18),"-")</f>
        <v>0</v>
      </c>
      <c r="BR21" s="564"/>
      <c r="BS21" s="564"/>
      <c r="BT21" s="565">
        <f>IF(ISNUMBER(STDEV(BT8:BT18)),STDEV(BT8:BT18),"-")</f>
        <v>0</v>
      </c>
      <c r="BU21" s="566">
        <f>IF(ISNUMBER(STDEV(BU8:BU18)),STDEV(BU8:BU18),"-")</f>
        <v>0</v>
      </c>
      <c r="BV21" s="1113">
        <f>IF(ISNUMBER(STDEV(BV8:BV18)),STDEV(BV8:BV18),"-")</f>
        <v>1858.3781982626083</v>
      </c>
    </row>
    <row r="22" spans="1:74" ht="12" customHeight="1" thickTop="1">
      <c r="C22" s="73"/>
      <c r="D22" s="73"/>
      <c r="F22" s="567"/>
      <c r="G22" s="567"/>
      <c r="H22" s="567"/>
      <c r="I22" s="567"/>
      <c r="L22" s="567"/>
      <c r="M22" s="567"/>
      <c r="N22" s="567"/>
      <c r="O22" s="579"/>
      <c r="P22" s="579"/>
      <c r="Q22" s="567"/>
      <c r="R22" s="567"/>
      <c r="S22" s="568"/>
      <c r="T22" s="568"/>
      <c r="U22" s="567"/>
      <c r="V22" s="1122"/>
      <c r="W22" s="95"/>
      <c r="X22" s="626"/>
      <c r="Y22" s="634"/>
      <c r="Z22" s="567"/>
      <c r="AA22" s="568"/>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301"/>
      <c r="BC22" s="567"/>
      <c r="BD22" s="567"/>
      <c r="BE22" s="567"/>
      <c r="BF22" s="567"/>
      <c r="BG22" s="567"/>
      <c r="BH22" s="567"/>
      <c r="BI22" s="567"/>
      <c r="BJ22" s="568"/>
      <c r="BK22" s="579"/>
      <c r="BL22" s="567" t="s">
        <v>424</v>
      </c>
      <c r="BM22" s="569"/>
      <c r="BN22" s="591"/>
      <c r="BO22" s="591"/>
      <c r="BP22" s="567"/>
      <c r="BQ22" s="567"/>
      <c r="BR22" s="567"/>
      <c r="BS22" s="567"/>
      <c r="BT22" s="570"/>
      <c r="BU22" s="567"/>
      <c r="BV22" s="567"/>
    </row>
    <row r="23" spans="1:74" ht="14.25">
      <c r="C23" s="163"/>
      <c r="D23" s="521"/>
      <c r="E23" s="522"/>
      <c r="F23" s="571"/>
      <c r="G23" s="232"/>
      <c r="H23" s="572"/>
      <c r="I23" s="572"/>
      <c r="J23" s="147"/>
      <c r="K23" s="147"/>
      <c r="L23" s="572"/>
      <c r="M23" s="572"/>
      <c r="N23" s="572"/>
      <c r="O23" s="362"/>
      <c r="P23" s="362"/>
      <c r="Q23" s="572"/>
      <c r="R23" s="572"/>
      <c r="S23" s="351"/>
      <c r="T23" s="351"/>
      <c r="U23" s="572"/>
      <c r="V23" s="1119"/>
      <c r="W23" s="305"/>
      <c r="X23" s="298"/>
      <c r="Y23" s="337"/>
      <c r="Z23" s="362"/>
      <c r="AA23" s="351"/>
      <c r="AB23" s="572"/>
      <c r="AC23" s="573"/>
      <c r="AD23" s="573"/>
      <c r="AE23" s="573"/>
      <c r="AF23" s="301"/>
      <c r="AG23" s="301"/>
      <c r="AH23" s="301"/>
      <c r="AI23" s="301"/>
      <c r="AJ23" s="301"/>
      <c r="AK23" s="573"/>
      <c r="AL23" s="573"/>
      <c r="AM23" s="573"/>
      <c r="AN23" s="573"/>
      <c r="AO23" s="573"/>
      <c r="AP23" s="573"/>
      <c r="AQ23" s="573"/>
      <c r="AR23" s="573"/>
      <c r="AS23" s="572"/>
      <c r="AT23" s="572"/>
      <c r="AU23" s="572"/>
      <c r="AV23" s="572"/>
      <c r="AW23" s="572"/>
      <c r="AX23" s="572"/>
      <c r="AY23" s="572"/>
      <c r="AZ23" s="572"/>
      <c r="BA23" s="572"/>
      <c r="BB23" s="572"/>
      <c r="BC23" s="572"/>
      <c r="BD23" s="572"/>
      <c r="BE23" s="572"/>
      <c r="BF23" s="572"/>
      <c r="BG23" s="572"/>
      <c r="BH23" s="572"/>
      <c r="BI23" s="572"/>
      <c r="BJ23" s="351"/>
      <c r="BK23" s="362"/>
      <c r="BL23" s="351"/>
      <c r="BM23" s="481"/>
      <c r="BN23" s="592"/>
      <c r="BO23" s="592"/>
      <c r="BP23" s="572"/>
      <c r="BQ23" s="572"/>
      <c r="BR23" s="572"/>
      <c r="BS23" s="572"/>
      <c r="BT23" s="574"/>
      <c r="BU23" s="574"/>
      <c r="BV23" s="1114"/>
    </row>
    <row r="24" spans="1:74" ht="14.25">
      <c r="C24" s="7"/>
      <c r="D24" s="524"/>
      <c r="E24" s="522"/>
      <c r="F24" s="571"/>
      <c r="G24" s="232"/>
      <c r="H24" s="572"/>
      <c r="I24" s="572"/>
      <c r="J24" s="147"/>
      <c r="K24" s="147"/>
      <c r="L24" s="572"/>
      <c r="M24" s="572"/>
      <c r="N24" s="572"/>
      <c r="O24" s="362"/>
      <c r="P24" s="362"/>
      <c r="Q24" s="572"/>
      <c r="R24" s="572"/>
      <c r="S24" s="351"/>
      <c r="T24" s="351"/>
      <c r="U24" s="572"/>
      <c r="V24" s="1119"/>
      <c r="W24" s="305"/>
      <c r="X24" s="298"/>
      <c r="Y24" s="337"/>
      <c r="Z24" s="362"/>
      <c r="AA24" s="351"/>
      <c r="AB24" s="572"/>
      <c r="AC24" s="573"/>
      <c r="AD24" s="573"/>
      <c r="AE24" s="573"/>
      <c r="AF24" s="301"/>
      <c r="AG24" s="301"/>
      <c r="AH24" s="301"/>
      <c r="AI24" s="301"/>
      <c r="AJ24" s="301"/>
      <c r="AK24" s="573"/>
      <c r="AL24" s="573"/>
      <c r="AM24" s="573"/>
      <c r="AN24" s="573"/>
      <c r="AO24" s="573"/>
      <c r="AP24" s="573"/>
      <c r="AQ24" s="573"/>
      <c r="AR24" s="573"/>
      <c r="AS24" s="572"/>
      <c r="AT24" s="572"/>
      <c r="AU24" s="572"/>
      <c r="AV24" s="572"/>
      <c r="AW24" s="572"/>
      <c r="AX24" s="572"/>
      <c r="AY24" s="572"/>
      <c r="AZ24" s="572"/>
      <c r="BA24" s="572"/>
      <c r="BB24" s="572"/>
      <c r="BC24" s="572"/>
      <c r="BD24" s="572"/>
      <c r="BE24" s="572"/>
      <c r="BF24" s="572"/>
      <c r="BG24" s="572"/>
      <c r="BH24" s="572"/>
      <c r="BI24" s="572"/>
      <c r="BJ24" s="351"/>
      <c r="BK24" s="362"/>
      <c r="BL24" s="351"/>
      <c r="BM24" s="481"/>
      <c r="BN24" s="592"/>
      <c r="BO24" s="592"/>
      <c r="BP24" s="572"/>
      <c r="BQ24" s="572"/>
      <c r="BR24" s="572"/>
      <c r="BS24" s="572"/>
      <c r="BT24" s="574"/>
      <c r="BU24" s="574"/>
      <c r="BV24" s="1114"/>
    </row>
    <row r="25" spans="1:74" ht="12.75" hidden="1" customHeight="1">
      <c r="C25" s="525" t="s">
        <v>262</v>
      </c>
      <c r="D25" s="524"/>
      <c r="E25" s="509">
        <f t="shared" ref="E25:AD25" si="12">E23+2*E24</f>
        <v>0</v>
      </c>
      <c r="F25" s="509">
        <f t="shared" si="12"/>
        <v>0</v>
      </c>
      <c r="G25" s="506">
        <f t="shared" si="12"/>
        <v>0</v>
      </c>
      <c r="H25" s="526">
        <f t="shared" si="12"/>
        <v>0</v>
      </c>
      <c r="I25" s="526">
        <f t="shared" si="12"/>
        <v>0</v>
      </c>
      <c r="J25" s="145">
        <f t="shared" si="12"/>
        <v>0</v>
      </c>
      <c r="K25" s="145">
        <f t="shared" si="12"/>
        <v>0</v>
      </c>
      <c r="L25" s="526">
        <f t="shared" si="12"/>
        <v>0</v>
      </c>
      <c r="M25" s="526">
        <f t="shared" si="12"/>
        <v>0</v>
      </c>
      <c r="N25" s="526">
        <f t="shared" si="12"/>
        <v>0</v>
      </c>
      <c r="O25" s="526">
        <f t="shared" si="12"/>
        <v>0</v>
      </c>
      <c r="P25" s="526">
        <f t="shared" si="12"/>
        <v>0</v>
      </c>
      <c r="Q25" s="526">
        <f t="shared" si="12"/>
        <v>0</v>
      </c>
      <c r="R25" s="526">
        <f t="shared" si="12"/>
        <v>0</v>
      </c>
      <c r="S25" s="527">
        <f t="shared" si="12"/>
        <v>0</v>
      </c>
      <c r="T25" s="527">
        <f t="shared" si="12"/>
        <v>0</v>
      </c>
      <c r="U25" s="526">
        <f t="shared" si="12"/>
        <v>0</v>
      </c>
      <c r="V25" s="617">
        <f t="shared" si="12"/>
        <v>0</v>
      </c>
      <c r="W25" s="620">
        <f t="shared" si="12"/>
        <v>0</v>
      </c>
      <c r="X25" s="617">
        <f t="shared" si="12"/>
        <v>0</v>
      </c>
      <c r="Y25" s="620">
        <f t="shared" si="12"/>
        <v>0</v>
      </c>
      <c r="Z25" s="506">
        <f t="shared" si="12"/>
        <v>0</v>
      </c>
      <c r="AA25" s="528">
        <f t="shared" si="12"/>
        <v>0</v>
      </c>
      <c r="AB25" s="506">
        <f t="shared" si="12"/>
        <v>0</v>
      </c>
      <c r="AC25" s="506">
        <f t="shared" si="12"/>
        <v>0</v>
      </c>
      <c r="AD25" s="506">
        <f t="shared" si="12"/>
        <v>0</v>
      </c>
      <c r="AE25" s="506"/>
      <c r="AF25" s="506">
        <f>AF23+2*AF24</f>
        <v>0</v>
      </c>
      <c r="AG25" s="506">
        <f>AG23+2*AG24</f>
        <v>0</v>
      </c>
      <c r="AH25" s="506">
        <f>AH23+2*AH24</f>
        <v>0</v>
      </c>
      <c r="AI25" s="506">
        <f>AI23+2*AI24</f>
        <v>0</v>
      </c>
      <c r="AJ25" s="506"/>
      <c r="AK25" s="506">
        <f t="shared" ref="AK25:BS25" si="13">AK23+2*AK24</f>
        <v>0</v>
      </c>
      <c r="AL25" s="506">
        <f t="shared" si="13"/>
        <v>0</v>
      </c>
      <c r="AM25" s="506">
        <f t="shared" si="13"/>
        <v>0</v>
      </c>
      <c r="AN25" s="506">
        <f t="shared" si="13"/>
        <v>0</v>
      </c>
      <c r="AO25" s="506">
        <f t="shared" si="13"/>
        <v>0</v>
      </c>
      <c r="AP25" s="506">
        <f t="shared" si="13"/>
        <v>0</v>
      </c>
      <c r="AQ25" s="506">
        <f t="shared" si="13"/>
        <v>0</v>
      </c>
      <c r="AR25" s="506">
        <f t="shared" si="13"/>
        <v>0</v>
      </c>
      <c r="AS25" s="506">
        <f t="shared" si="13"/>
        <v>0</v>
      </c>
      <c r="AT25" s="506">
        <f t="shared" si="13"/>
        <v>0</v>
      </c>
      <c r="AU25" s="506">
        <f t="shared" si="13"/>
        <v>0</v>
      </c>
      <c r="AV25" s="506">
        <f t="shared" si="13"/>
        <v>0</v>
      </c>
      <c r="AW25" s="506">
        <f t="shared" si="13"/>
        <v>0</v>
      </c>
      <c r="AX25" s="506">
        <f t="shared" si="13"/>
        <v>0</v>
      </c>
      <c r="AY25" s="506">
        <f t="shared" si="13"/>
        <v>0</v>
      </c>
      <c r="AZ25" s="506">
        <f t="shared" si="13"/>
        <v>0</v>
      </c>
      <c r="BA25" s="506">
        <f t="shared" si="13"/>
        <v>0</v>
      </c>
      <c r="BB25" s="506">
        <f t="shared" si="13"/>
        <v>0</v>
      </c>
      <c r="BC25" s="506">
        <f t="shared" si="13"/>
        <v>0</v>
      </c>
      <c r="BD25" s="506">
        <f t="shared" si="13"/>
        <v>0</v>
      </c>
      <c r="BE25" s="506">
        <f t="shared" si="13"/>
        <v>0</v>
      </c>
      <c r="BF25" s="506">
        <f t="shared" si="13"/>
        <v>0</v>
      </c>
      <c r="BG25" s="523">
        <f t="shared" si="13"/>
        <v>0</v>
      </c>
      <c r="BH25" s="523">
        <f t="shared" si="13"/>
        <v>0</v>
      </c>
      <c r="BI25" s="523">
        <f t="shared" si="13"/>
        <v>0</v>
      </c>
      <c r="BJ25" s="528">
        <f t="shared" si="13"/>
        <v>0</v>
      </c>
      <c r="BK25" s="580">
        <f t="shared" si="13"/>
        <v>0</v>
      </c>
      <c r="BL25" s="618">
        <f t="shared" si="13"/>
        <v>0</v>
      </c>
      <c r="BM25" s="618">
        <f t="shared" si="13"/>
        <v>0</v>
      </c>
      <c r="BN25" s="506">
        <f t="shared" si="13"/>
        <v>0</v>
      </c>
      <c r="BO25" s="506">
        <f t="shared" si="13"/>
        <v>0</v>
      </c>
      <c r="BP25" s="506">
        <f t="shared" si="13"/>
        <v>0</v>
      </c>
      <c r="BQ25" s="506">
        <f t="shared" si="13"/>
        <v>0</v>
      </c>
      <c r="BR25" s="506">
        <f t="shared" si="13"/>
        <v>0</v>
      </c>
      <c r="BS25" s="506">
        <f t="shared" si="13"/>
        <v>0</v>
      </c>
      <c r="BT25" s="506">
        <f>(BT23-ultimoDiaTrim)+2*BT24</f>
        <v>0</v>
      </c>
      <c r="BU25" s="506">
        <f>BU23+2*BU24</f>
        <v>0</v>
      </c>
      <c r="BV25" s="519">
        <f>BV23+2*BV24</f>
        <v>0</v>
      </c>
    </row>
    <row r="26" spans="1:74" ht="12.75" hidden="1" customHeight="1">
      <c r="C26" s="525" t="s">
        <v>263</v>
      </c>
      <c r="D26" s="524"/>
      <c r="E26" s="509">
        <f t="shared" ref="E26:AD26" si="14">MIN(0,E23-2*E24)</f>
        <v>0</v>
      </c>
      <c r="F26" s="509">
        <f t="shared" si="14"/>
        <v>0</v>
      </c>
      <c r="G26" s="506">
        <f t="shared" si="14"/>
        <v>0</v>
      </c>
      <c r="H26" s="506">
        <f t="shared" si="14"/>
        <v>0</v>
      </c>
      <c r="I26" s="506">
        <f t="shared" si="14"/>
        <v>0</v>
      </c>
      <c r="J26" s="146">
        <f t="shared" si="14"/>
        <v>0</v>
      </c>
      <c r="K26" s="146">
        <f t="shared" si="14"/>
        <v>0</v>
      </c>
      <c r="L26" s="506">
        <f t="shared" si="14"/>
        <v>0</v>
      </c>
      <c r="M26" s="506">
        <f t="shared" si="14"/>
        <v>0</v>
      </c>
      <c r="N26" s="506">
        <f t="shared" si="14"/>
        <v>0</v>
      </c>
      <c r="O26" s="506">
        <f t="shared" si="14"/>
        <v>0</v>
      </c>
      <c r="P26" s="506">
        <f t="shared" si="14"/>
        <v>0</v>
      </c>
      <c r="Q26" s="506">
        <f t="shared" si="14"/>
        <v>0</v>
      </c>
      <c r="R26" s="506">
        <f t="shared" si="14"/>
        <v>0</v>
      </c>
      <c r="S26" s="528">
        <f t="shared" si="14"/>
        <v>0</v>
      </c>
      <c r="T26" s="528">
        <f t="shared" si="14"/>
        <v>0</v>
      </c>
      <c r="U26" s="506">
        <f t="shared" si="14"/>
        <v>0</v>
      </c>
      <c r="V26" s="618">
        <f t="shared" si="14"/>
        <v>0</v>
      </c>
      <c r="W26" s="508">
        <f t="shared" si="14"/>
        <v>0</v>
      </c>
      <c r="X26" s="618">
        <f t="shared" si="14"/>
        <v>0</v>
      </c>
      <c r="Y26" s="508">
        <f t="shared" si="14"/>
        <v>0</v>
      </c>
      <c r="Z26" s="506">
        <f t="shared" si="14"/>
        <v>0</v>
      </c>
      <c r="AA26" s="528">
        <f t="shared" si="14"/>
        <v>0</v>
      </c>
      <c r="AB26" s="506">
        <f t="shared" si="14"/>
        <v>0</v>
      </c>
      <c r="AC26" s="506">
        <f t="shared" si="14"/>
        <v>0</v>
      </c>
      <c r="AD26" s="506">
        <f t="shared" si="14"/>
        <v>0</v>
      </c>
      <c r="AE26" s="506"/>
      <c r="AF26" s="506">
        <f>MIN(0,AF23-2*AF24)</f>
        <v>0</v>
      </c>
      <c r="AG26" s="506">
        <f>MIN(0,AG23-2*AG24)</f>
        <v>0</v>
      </c>
      <c r="AH26" s="506">
        <f>MIN(0,AH23-2*AH24)</f>
        <v>0</v>
      </c>
      <c r="AI26" s="506">
        <f>MIN(0,AI23-2*AI24)</f>
        <v>0</v>
      </c>
      <c r="AJ26" s="506"/>
      <c r="AK26" s="506">
        <f t="shared" ref="AK26:BS26" si="15">MIN(0,AK23-2*AK24)</f>
        <v>0</v>
      </c>
      <c r="AL26" s="506">
        <f t="shared" si="15"/>
        <v>0</v>
      </c>
      <c r="AM26" s="506">
        <f t="shared" si="15"/>
        <v>0</v>
      </c>
      <c r="AN26" s="506">
        <f t="shared" si="15"/>
        <v>0</v>
      </c>
      <c r="AO26" s="506">
        <f t="shared" si="15"/>
        <v>0</v>
      </c>
      <c r="AP26" s="506">
        <f t="shared" si="15"/>
        <v>0</v>
      </c>
      <c r="AQ26" s="506">
        <f t="shared" si="15"/>
        <v>0</v>
      </c>
      <c r="AR26" s="506">
        <f t="shared" si="15"/>
        <v>0</v>
      </c>
      <c r="AS26" s="506">
        <f t="shared" si="15"/>
        <v>0</v>
      </c>
      <c r="AT26" s="506">
        <f t="shared" si="15"/>
        <v>0</v>
      </c>
      <c r="AU26" s="506">
        <f t="shared" si="15"/>
        <v>0</v>
      </c>
      <c r="AV26" s="506">
        <f t="shared" si="15"/>
        <v>0</v>
      </c>
      <c r="AW26" s="506">
        <f t="shared" si="15"/>
        <v>0</v>
      </c>
      <c r="AX26" s="506">
        <f t="shared" si="15"/>
        <v>0</v>
      </c>
      <c r="AY26" s="506">
        <f t="shared" si="15"/>
        <v>0</v>
      </c>
      <c r="AZ26" s="506">
        <f t="shared" si="15"/>
        <v>0</v>
      </c>
      <c r="BA26" s="506">
        <f t="shared" si="15"/>
        <v>0</v>
      </c>
      <c r="BB26" s="506">
        <f t="shared" si="15"/>
        <v>0</v>
      </c>
      <c r="BC26" s="506">
        <f t="shared" si="15"/>
        <v>0</v>
      </c>
      <c r="BD26" s="506">
        <f t="shared" si="15"/>
        <v>0</v>
      </c>
      <c r="BE26" s="506">
        <f t="shared" si="15"/>
        <v>0</v>
      </c>
      <c r="BF26" s="506">
        <f t="shared" si="15"/>
        <v>0</v>
      </c>
      <c r="BG26" s="523">
        <f t="shared" si="15"/>
        <v>0</v>
      </c>
      <c r="BH26" s="523">
        <f t="shared" si="15"/>
        <v>0</v>
      </c>
      <c r="BI26" s="523">
        <f t="shared" si="15"/>
        <v>0</v>
      </c>
      <c r="BJ26" s="528">
        <f t="shared" si="15"/>
        <v>0</v>
      </c>
      <c r="BK26" s="580">
        <f t="shared" si="15"/>
        <v>0</v>
      </c>
      <c r="BL26" s="618">
        <f t="shared" si="15"/>
        <v>0</v>
      </c>
      <c r="BM26" s="618">
        <f t="shared" si="15"/>
        <v>0</v>
      </c>
      <c r="BN26" s="506">
        <f t="shared" si="15"/>
        <v>0</v>
      </c>
      <c r="BO26" s="506">
        <f t="shared" si="15"/>
        <v>0</v>
      </c>
      <c r="BP26" s="506">
        <f t="shared" si="15"/>
        <v>0</v>
      </c>
      <c r="BQ26" s="506">
        <f t="shared" si="15"/>
        <v>0</v>
      </c>
      <c r="BR26" s="506">
        <f t="shared" si="15"/>
        <v>0</v>
      </c>
      <c r="BS26" s="506">
        <f t="shared" si="15"/>
        <v>0</v>
      </c>
      <c r="BT26" s="506">
        <f>MIN(0,(BT23-ultimoDiaTrim)-2*BT24)</f>
        <v>0</v>
      </c>
      <c r="BU26" s="506">
        <f>BU24+2*BU25</f>
        <v>0</v>
      </c>
      <c r="BV26" s="519">
        <f>BV24+2*BV25</f>
        <v>0</v>
      </c>
    </row>
    <row r="27" spans="1:74">
      <c r="C27" s="71"/>
      <c r="D27" s="71"/>
    </row>
    <row r="30" spans="1:74">
      <c r="C30" s="474" t="str">
        <f>Criterios!A4</f>
        <v>Fecha Informe: 03 may. 2024</v>
      </c>
    </row>
    <row r="32" spans="1:74">
      <c r="C32" s="530"/>
      <c r="D32" s="530"/>
    </row>
  </sheetData>
  <sheetProtection algorithmName="SHA-512" hashValue="VdsO5p6gZffbgAHestYfXYRU55vY527UGhTyWMpsMt2kwfIWQTagLbq8Sb7DC76Rui57+UAabBTdtsXNs4Kvbw==" saltValue="XUDZuu0oTyRZPxQq4fc3T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90" hidden="1" customWidth="1"/>
    <col min="2" max="2" width="9.42578125" style="490" hidden="1" customWidth="1"/>
    <col min="3" max="3" width="37.28515625" style="538" bestFit="1" customWidth="1"/>
    <col min="4" max="4" width="7.42578125" style="474" customWidth="1"/>
    <col min="5" max="5" width="15.5703125" style="474" customWidth="1"/>
    <col min="6" max="6" width="15.85546875" style="474" customWidth="1"/>
    <col min="7" max="7" width="13.5703125" style="474" customWidth="1"/>
    <col min="8" max="9" width="14" style="474" customWidth="1"/>
    <col min="10" max="10" width="14.42578125" customWidth="1"/>
    <col min="11" max="13" width="14" style="611" customWidth="1"/>
    <col min="14" max="15" width="14" style="474" customWidth="1"/>
    <col min="16" max="17" width="14" style="495" customWidth="1"/>
    <col min="18" max="18" width="14" style="575" customWidth="1"/>
    <col min="19" max="19" width="14.28515625" style="495" customWidth="1"/>
    <col min="20" max="20" width="13.7109375" customWidth="1"/>
    <col min="21" max="21" width="13" style="474" customWidth="1"/>
    <col min="22" max="22" width="14.28515625" style="611" customWidth="1"/>
    <col min="23" max="23" width="12.85546875" style="474" customWidth="1"/>
    <col min="24" max="24" width="14.28515625" style="495" customWidth="1"/>
    <col min="25" max="26" width="14.28515625" style="575" customWidth="1"/>
    <col min="27" max="27" width="13.7109375" style="474" customWidth="1"/>
    <col min="28" max="29" width="16.28515625" style="474" customWidth="1"/>
    <col min="30" max="30" width="15.140625" style="474" customWidth="1"/>
    <col min="31" max="31" width="16.28515625" style="474" customWidth="1"/>
    <col min="32" max="32" width="12.5703125" style="474" customWidth="1"/>
    <col min="33" max="35" width="13" style="474" customWidth="1"/>
    <col min="36" max="37" width="12.85546875" style="474" customWidth="1"/>
    <col min="38" max="39" width="11.42578125" style="474"/>
    <col min="40" max="40" width="12.42578125" style="474" customWidth="1"/>
    <col min="41" max="41" width="12.28515625" style="474" customWidth="1"/>
    <col min="42" max="42" width="16.140625" style="495" customWidth="1"/>
    <col min="43" max="48" width="16.140625" style="575" customWidth="1"/>
    <col min="49" max="49" width="14.85546875" style="474" customWidth="1"/>
    <col min="50" max="50" width="11.42578125" style="474"/>
    <col min="51" max="51" width="11.5703125" customWidth="1"/>
    <col min="52" max="52" width="11.42578125" style="474" customWidth="1"/>
    <col min="53" max="64" width="11.42578125" style="474"/>
    <col min="65" max="69" width="11.42578125" style="474" customWidth="1"/>
    <col min="70" max="72" width="11.42578125" style="474"/>
    <col min="73" max="73" width="14.85546875" style="474" hidden="1" customWidth="1"/>
    <col min="74" max="16384" width="11.42578125" style="474"/>
  </cols>
  <sheetData>
    <row r="1" spans="1:73">
      <c r="C1" s="531" t="str">
        <f>Criterios!A9 &amp;"  "&amp;Criterios!B9</f>
        <v>Tribunales de Justicia  ASTURIAS</v>
      </c>
    </row>
    <row r="2" spans="1:73" ht="16.5" customHeight="1">
      <c r="C2" s="531" t="str">
        <f>Criterios!A10 &amp;"  "&amp;Criterios!B10 &amp; "  " &amp; IF(NOT(ISBLANK(Criterios!A11)),Criterios!A11 &amp;"  "&amp;Criterios!B11,"")</f>
        <v>Provincias  ASTURIAS  Resumenes por Partidos Judiciales  LENA</v>
      </c>
      <c r="D2" s="491"/>
      <c r="E2" s="491"/>
      <c r="F2" s="492"/>
      <c r="G2" s="493"/>
      <c r="H2" s="492"/>
      <c r="I2" s="492"/>
      <c r="J2" s="265"/>
      <c r="K2" s="607"/>
      <c r="L2" s="607"/>
      <c r="M2" s="607"/>
      <c r="N2" s="492"/>
      <c r="O2" s="492"/>
      <c r="P2" s="494"/>
      <c r="Q2" s="494"/>
      <c r="R2" s="585"/>
      <c r="S2" s="494"/>
      <c r="V2" s="607"/>
    </row>
    <row r="3" spans="1:73" ht="25.5" customHeight="1">
      <c r="C3" s="1115"/>
      <c r="D3" s="496"/>
      <c r="E3" s="496"/>
      <c r="G3" s="493"/>
      <c r="H3" s="492"/>
      <c r="I3" s="492"/>
      <c r="K3" s="607"/>
      <c r="L3" s="607"/>
      <c r="M3" s="607"/>
      <c r="N3" s="492"/>
      <c r="O3" s="492"/>
      <c r="P3" s="494"/>
      <c r="Q3" s="494"/>
      <c r="R3" s="585"/>
    </row>
    <row r="4" spans="1:73" ht="18.75" customHeight="1" thickBot="1">
      <c r="C4" s="1116"/>
      <c r="D4" s="497"/>
      <c r="E4" s="497"/>
      <c r="F4" s="498"/>
      <c r="G4" s="498"/>
      <c r="H4" s="498"/>
      <c r="I4" s="498"/>
      <c r="J4" s="333"/>
      <c r="K4" s="607"/>
      <c r="L4" s="607"/>
      <c r="M4" s="607"/>
      <c r="N4" s="498"/>
      <c r="O4" s="498"/>
      <c r="P4" s="494"/>
      <c r="Q4" s="494"/>
      <c r="R4" s="585"/>
      <c r="S4" s="494"/>
      <c r="V4" s="607"/>
      <c r="BU4" s="498"/>
    </row>
    <row r="5" spans="1:73" ht="15.75" customHeight="1">
      <c r="A5" s="1276" t="s">
        <v>351</v>
      </c>
      <c r="B5" s="275"/>
      <c r="C5" s="1521" t="str">
        <f>"Año:  " &amp;Criterios!B$5 &amp; "          Trimestre   " &amp;Criterios!D$5 &amp; " al " &amp;Criterios!D$6</f>
        <v>Año:  2023          Trimestre   1 al 4</v>
      </c>
      <c r="D5" s="1523" t="s">
        <v>376</v>
      </c>
      <c r="E5" s="1483" t="s">
        <v>560</v>
      </c>
      <c r="F5" s="1512" t="s">
        <v>406</v>
      </c>
      <c r="G5" s="1483" t="s">
        <v>128</v>
      </c>
      <c r="H5" s="1483" t="s">
        <v>590</v>
      </c>
      <c r="I5" s="1483" t="s">
        <v>561</v>
      </c>
      <c r="J5" s="1483" t="s">
        <v>683</v>
      </c>
      <c r="K5" s="1483" t="s">
        <v>562</v>
      </c>
      <c r="L5" s="1483" t="s">
        <v>588</v>
      </c>
      <c r="M5" s="1483" t="s">
        <v>684</v>
      </c>
      <c r="N5" s="1483" t="s">
        <v>587</v>
      </c>
      <c r="O5" s="1483" t="s">
        <v>614</v>
      </c>
      <c r="P5" s="1518" t="s">
        <v>676</v>
      </c>
      <c r="Q5" s="1518" t="s">
        <v>678</v>
      </c>
      <c r="R5" s="1483" t="s">
        <v>594</v>
      </c>
      <c r="S5" s="1483" t="s">
        <v>563</v>
      </c>
      <c r="T5" s="1483" t="s">
        <v>771</v>
      </c>
      <c r="U5" s="1483" t="s">
        <v>772</v>
      </c>
      <c r="V5" s="1486" t="s">
        <v>667</v>
      </c>
      <c r="W5" s="1501" t="s">
        <v>576</v>
      </c>
      <c r="X5" s="1504" t="s">
        <v>577</v>
      </c>
      <c r="Y5" s="1480" t="s">
        <v>595</v>
      </c>
      <c r="Z5" s="1480" t="s">
        <v>615</v>
      </c>
      <c r="AA5" s="1483" t="s">
        <v>567</v>
      </c>
      <c r="AB5" s="1483" t="s">
        <v>578</v>
      </c>
      <c r="AC5" s="1483" t="s">
        <v>579</v>
      </c>
      <c r="AD5" s="1483" t="s">
        <v>533</v>
      </c>
      <c r="AE5" s="1483" t="s">
        <v>685</v>
      </c>
      <c r="AF5" s="1483" t="s">
        <v>182</v>
      </c>
      <c r="AG5" s="1483" t="s">
        <v>580</v>
      </c>
      <c r="AH5" s="1483" t="s">
        <v>568</v>
      </c>
      <c r="AI5" s="1483" t="s">
        <v>569</v>
      </c>
      <c r="AJ5" s="1483" t="s">
        <v>581</v>
      </c>
      <c r="AK5" s="1483" t="s">
        <v>582</v>
      </c>
      <c r="AL5" s="1483" t="s">
        <v>583</v>
      </c>
      <c r="AM5" s="1498" t="s">
        <v>584</v>
      </c>
      <c r="AN5" s="1483" t="s">
        <v>249</v>
      </c>
      <c r="AO5" s="1483" t="s">
        <v>571</v>
      </c>
      <c r="AP5" s="1483" t="s">
        <v>572</v>
      </c>
      <c r="AQ5" s="1483" t="s">
        <v>596</v>
      </c>
      <c r="AR5" s="1483" t="s">
        <v>597</v>
      </c>
      <c r="AS5" s="1483" t="s">
        <v>599</v>
      </c>
      <c r="AT5" s="1483" t="s">
        <v>592</v>
      </c>
      <c r="AU5" s="1483" t="s">
        <v>839</v>
      </c>
      <c r="AV5" s="1483" t="s">
        <v>333</v>
      </c>
      <c r="AW5" s="1483" t="s">
        <v>585</v>
      </c>
      <c r="AX5" s="1483" t="s">
        <v>538</v>
      </c>
      <c r="BU5" s="1483" t="s">
        <v>773</v>
      </c>
    </row>
    <row r="6" spans="1:73" ht="21.75" customHeight="1">
      <c r="A6" s="1277"/>
      <c r="B6" s="276"/>
      <c r="C6" s="1522"/>
      <c r="D6" s="1524"/>
      <c r="E6" s="1484"/>
      <c r="F6" s="1513"/>
      <c r="G6" s="1484"/>
      <c r="H6" s="1484"/>
      <c r="I6" s="1484"/>
      <c r="J6" s="1484"/>
      <c r="K6" s="1484"/>
      <c r="L6" s="1484"/>
      <c r="M6" s="1484"/>
      <c r="N6" s="1484"/>
      <c r="O6" s="1484"/>
      <c r="P6" s="1519"/>
      <c r="Q6" s="1519"/>
      <c r="R6" s="1484"/>
      <c r="S6" s="1484"/>
      <c r="T6" s="1484"/>
      <c r="U6" s="1484"/>
      <c r="V6" s="1487"/>
      <c r="W6" s="1502"/>
      <c r="X6" s="1505"/>
      <c r="Y6" s="1481"/>
      <c r="Z6" s="1481"/>
      <c r="AA6" s="1484"/>
      <c r="AB6" s="1484"/>
      <c r="AC6" s="1484"/>
      <c r="AD6" s="1484"/>
      <c r="AE6" s="1484"/>
      <c r="AF6" s="1484"/>
      <c r="AG6" s="1484"/>
      <c r="AH6" s="1484"/>
      <c r="AI6" s="1484"/>
      <c r="AJ6" s="1484"/>
      <c r="AK6" s="1484"/>
      <c r="AL6" s="1484"/>
      <c r="AM6" s="1499"/>
      <c r="AN6" s="1484"/>
      <c r="AO6" s="1484"/>
      <c r="AP6" s="1484"/>
      <c r="AQ6" s="1484"/>
      <c r="AR6" s="1484"/>
      <c r="AS6" s="1484"/>
      <c r="AT6" s="1484"/>
      <c r="AU6" s="1484"/>
      <c r="AV6" s="1484"/>
      <c r="AW6" s="1484"/>
      <c r="AX6" s="1484"/>
      <c r="BU6" s="1484"/>
    </row>
    <row r="7" spans="1:73" ht="38.25" customHeight="1" thickBot="1">
      <c r="A7" s="1278"/>
      <c r="B7" s="277"/>
      <c r="C7" s="532" t="str">
        <f>Datos!A7</f>
        <v>COMPETENCIAS</v>
      </c>
      <c r="D7" s="1525"/>
      <c r="E7" s="1485"/>
      <c r="F7" s="1514"/>
      <c r="G7" s="1485"/>
      <c r="H7" s="1485"/>
      <c r="I7" s="1485"/>
      <c r="J7" s="1485"/>
      <c r="K7" s="1485"/>
      <c r="L7" s="1485"/>
      <c r="M7" s="1485"/>
      <c r="N7" s="1485"/>
      <c r="O7" s="1485"/>
      <c r="P7" s="1520"/>
      <c r="Q7" s="1520"/>
      <c r="R7" s="1485"/>
      <c r="S7" s="1485"/>
      <c r="T7" s="1485"/>
      <c r="U7" s="1485"/>
      <c r="V7" s="1488"/>
      <c r="W7" s="1503"/>
      <c r="X7" s="1506"/>
      <c r="Y7" s="1482"/>
      <c r="Z7" s="1482"/>
      <c r="AA7" s="1485"/>
      <c r="AB7" s="1485"/>
      <c r="AC7" s="1485"/>
      <c r="AD7" s="1485"/>
      <c r="AE7" s="1485"/>
      <c r="AF7" s="1485"/>
      <c r="AG7" s="1485"/>
      <c r="AH7" s="1485"/>
      <c r="AI7" s="1485"/>
      <c r="AJ7" s="1485"/>
      <c r="AK7" s="1485"/>
      <c r="AL7" s="1485"/>
      <c r="AM7" s="1500"/>
      <c r="AN7" s="1485"/>
      <c r="AO7" s="1485"/>
      <c r="AP7" s="1485"/>
      <c r="AQ7" s="1485"/>
      <c r="AR7" s="1485"/>
      <c r="AS7" s="1485"/>
      <c r="AT7" s="1485"/>
      <c r="AU7" s="1485"/>
      <c r="AV7" s="1485"/>
      <c r="AW7" s="1485"/>
      <c r="AX7" s="1485"/>
      <c r="BU7" s="1485"/>
    </row>
    <row r="8" spans="1:73" ht="15" thickTop="1">
      <c r="A8" s="499"/>
      <c r="B8" s="499"/>
      <c r="C8" s="164" t="str">
        <f>Datos!A8</f>
        <v>Jurisdicción Civil ( 1 ):</v>
      </c>
      <c r="D8" s="500"/>
      <c r="E8" s="581"/>
      <c r="F8" s="219"/>
      <c r="G8" s="219"/>
      <c r="H8" s="220"/>
      <c r="I8" s="219"/>
      <c r="J8" s="220"/>
      <c r="K8" s="220"/>
      <c r="L8" s="220"/>
      <c r="M8" s="220"/>
      <c r="N8" s="220"/>
      <c r="O8" s="220"/>
      <c r="P8" s="478"/>
      <c r="Q8" s="478"/>
      <c r="R8" s="586"/>
      <c r="S8" s="478"/>
      <c r="T8" s="302"/>
      <c r="U8" s="302"/>
      <c r="V8" s="220"/>
      <c r="W8" s="224"/>
      <c r="X8" s="479"/>
      <c r="Y8" s="595"/>
      <c r="Z8" s="595"/>
      <c r="AA8" s="219"/>
      <c r="AB8" s="220"/>
      <c r="AC8" s="220"/>
      <c r="AD8" s="220"/>
      <c r="AE8" s="220"/>
      <c r="AF8" s="312"/>
      <c r="AG8" s="219"/>
      <c r="AH8" s="220"/>
      <c r="AI8" s="221"/>
      <c r="AJ8" s="219"/>
      <c r="AK8" s="220"/>
      <c r="AL8" s="222"/>
      <c r="AM8" s="223"/>
      <c r="AN8" s="224"/>
      <c r="AO8" s="225"/>
      <c r="AP8" s="227"/>
      <c r="AQ8" s="576"/>
      <c r="AR8" s="576"/>
      <c r="AS8" s="576"/>
      <c r="AT8" s="576"/>
      <c r="AU8" s="576"/>
      <c r="AV8" s="576"/>
      <c r="AW8" s="302"/>
      <c r="AX8" s="486"/>
      <c r="BU8" s="480"/>
    </row>
    <row r="9" spans="1:73" ht="25.5">
      <c r="A9" s="504" t="s">
        <v>598</v>
      </c>
      <c r="B9" s="504" t="s">
        <v>246</v>
      </c>
      <c r="C9" s="163" t="str">
        <f>Datos!A9</f>
        <v xml:space="preserve">Jdos. 1ª Instancia   </v>
      </c>
      <c r="D9" s="505"/>
      <c r="E9" s="1171">
        <f>IF(ISNUMBER(Datos!AQ9),Datos!AQ9," - ")</f>
        <v>0</v>
      </c>
      <c r="F9" s="228" t="str">
        <f>IF(ISNUMBER(AA9+Y9-I9-K9),AA9+Y9-I9-K9," - ")</f>
        <v xml:space="preserve"> - </v>
      </c>
      <c r="G9" s="228" t="str">
        <f>IF(ISNUMBER(IF(J_V="SI",Datos!I9,Datos!I9+Datos!Y9)-IF(Monitorios="SI",Datos!CA9,0)),
                          IF(J_V="SI",Datos!I9,Datos!I9+Datos!Y9)-IF(Monitorios="SI",Datos!CA9,0),
                          " - ")</f>
        <v xml:space="preserve"> - </v>
      </c>
      <c r="H9" s="232"/>
      <c r="I9" s="228" t="str">
        <f>IF(ISNUMBER(Datos!DB9),Datos!DB9," - ")</f>
        <v xml:space="preserve"> - </v>
      </c>
      <c r="J9" s="229" t="str">
        <f>IF(ISNUMBER(Datos!DC9),Datos!DC9," - ")</f>
        <v xml:space="preserve"> - </v>
      </c>
      <c r="K9" s="487">
        <f>IF(ISNUMBER(Datos!DF15),Datos!DF15,0)</f>
        <v>0</v>
      </c>
      <c r="L9" s="487"/>
      <c r="M9" s="228"/>
      <c r="N9" s="232">
        <f>IF(ISNUMBER(Datos!P9),Datos!P9,0)</f>
        <v>0</v>
      </c>
      <c r="O9" s="232" t="str">
        <f>IF(ISNUMBER(Datos!DE9),Datos!DE9," - ")</f>
        <v xml:space="preserve"> - </v>
      </c>
      <c r="P9" s="1123"/>
      <c r="Q9" s="1123"/>
      <c r="R9" s="487" t="str">
        <f>IF(ISNUMBER(Datos!AS9),Datos!AS9," - ")</f>
        <v xml:space="preserve"> - </v>
      </c>
      <c r="S9" s="484" t="str">
        <f>IF(ISNUMBER(R9/(Datos!BM9/factor_trimestre)),R9/(Datos!BM9/factor_trimestre)," - ")</f>
        <v xml:space="preserve"> - </v>
      </c>
      <c r="T9" s="229" t="str">
        <f>IF(ISNUMBER(Datos!EO9),Datos!EO9," - ")</f>
        <v xml:space="preserve"> - </v>
      </c>
      <c r="U9" s="994" t="e">
        <f>(T9/Datos!ER9)*factor_trimestre</f>
        <v>#VALUE!</v>
      </c>
      <c r="V9" s="487" t="str">
        <f>IF(ISNUMBER(Datos!CB9),Datos!CB9," - ")</f>
        <v xml:space="preserve"> - </v>
      </c>
      <c r="W9" s="228">
        <f>IF(ISNUMBER(Datos!BY9+Datos!BZ9*0.86),Datos!BY9+Datos!BZ9*0.86," - ")</f>
        <v>0</v>
      </c>
      <c r="X9" s="613">
        <f>IF(ISNUMBER((W9*factor_trimestre)/DatosB!CN9),(W9*factor_trimestre)/DatosB!CN9,"-")</f>
        <v>0</v>
      </c>
      <c r="Y9" s="622" t="str">
        <f>IF(ISNUMBER(IF(J_V="SI",Datos!K9,Datos!K9+Datos!AA9)-IF(Monitorios="SI",Datos!CC9,0)),
                          IF(J_V="SI",Datos!K9,Datos!K9+Datos!AA9)-IF(Monitorios="SI",Datos!CC9,0),
                          " - ")</f>
        <v xml:space="preserve"> - </v>
      </c>
      <c r="Z9" s="622" t="str">
        <f>IF(ISNUMBER(Datos!Q9),Datos!Q9," - ")</f>
        <v xml:space="preserve"> - </v>
      </c>
      <c r="AA9" s="335" t="str">
        <f>IF(ISNUMBER(IF(J_V="SI",Datos!L9,Datos!L9+Datos!AB9)-IF(Monitorios="SI",Datos!CD9,0)),
                          IF(J_V="SI",Datos!L9,Datos!L9+Datos!AB9)-IF(Monitorios="SI",Datos!CD9,0),
                          " - ")</f>
        <v xml:space="preserve"> - </v>
      </c>
      <c r="AB9" s="337"/>
      <c r="AC9" s="337"/>
      <c r="AD9" s="487"/>
      <c r="AE9" s="487" t="str">
        <f>IF(ISNUMBER(Datos!R9),Datos!R9," - ")</f>
        <v xml:space="preserve"> - </v>
      </c>
      <c r="AF9" s="232" t="str">
        <f>IF(ISNUMBER(Datos!BV9),Datos!BV9," - ")</f>
        <v xml:space="preserve"> - </v>
      </c>
      <c r="AG9" s="228" t="str">
        <f>IF(ISNUMBER(Datos!DV9),Datos!DV9," - ")</f>
        <v xml:space="preserve"> - </v>
      </c>
      <c r="AH9" s="301"/>
      <c r="AI9" s="230"/>
      <c r="AJ9" s="228" t="str">
        <f>IF(ISNUMBER(Datos!M9),Datos!M9," - ")</f>
        <v xml:space="preserve"> - </v>
      </c>
      <c r="AK9" s="232" t="str">
        <f>IF(ISNUMBER(Datos!N9),Datos!N9," - ")</f>
        <v xml:space="preserve"> - </v>
      </c>
      <c r="AL9" s="232" t="str">
        <f>IF(ISNUMBER(Datos!BW9),Datos!BW9," - ")</f>
        <v xml:space="preserve"> - </v>
      </c>
      <c r="AM9" s="231" t="str">
        <f>IF(ISNUMBER(Datos!BX9),Datos!BX9," - ")</f>
        <v xml:space="preserve"> - </v>
      </c>
      <c r="AN9" s="246"/>
      <c r="AO9" s="263" t="str">
        <f>IF(ISNUMBER(((NºAsuntos!I9/NºAsuntos!G9)*11)/factor_trimestre),((NºAsuntos!I9/NºAsuntos!G9)*11)/factor_trimestre," - ")</f>
        <v xml:space="preserve"> - </v>
      </c>
      <c r="AP9" s="233" t="str">
        <f>IF(ISNUMBER(Datos!CI9/Datos!CJ9),Datos!CI9/Datos!CJ9," - ")</f>
        <v xml:space="preserve"> - </v>
      </c>
      <c r="AQ9" s="233" t="str">
        <f>IF(ISNUMBER((J9-Y9+K9)/(F9)),(J9-Y9+K9)/(F9)," - ")</f>
        <v xml:space="preserve"> - </v>
      </c>
      <c r="AR9" s="233" t="str">
        <f>IF(ISNUMBER((Datos!P9-Datos!Q9+Datos!DE9)/(Datos!R9-Datos!P9+Datos!Q9-Datos!DE9)),(Datos!P9-Datos!Q9+Datos!DE9)/(Datos!R9-Datos!P9+Datos!Q9-Datos!DE9)," - ")</f>
        <v xml:space="preserve"> - </v>
      </c>
      <c r="AS9" s="363"/>
      <c r="AT9" s="363"/>
      <c r="AU9" s="269" t="str">
        <f>IF(ISNUMBER(Datos!EV9),Datos!EV9," - ")</f>
        <v xml:space="preserve"> - </v>
      </c>
      <c r="AV9" s="269" t="str">
        <f>IF(ISNUMBER(Datos!CW9),Datos!CW9," - ")</f>
        <v xml:space="preserve"> - </v>
      </c>
      <c r="AW9" s="269">
        <f>Datos!CX9</f>
        <v>0</v>
      </c>
      <c r="AX9" s="635">
        <f>Datos!DU9</f>
        <v>0</v>
      </c>
      <c r="AY9" s="474"/>
      <c r="BU9" s="1028">
        <f>Datos!ER9/factor_trimestre</f>
        <v>1200</v>
      </c>
    </row>
    <row r="10" spans="1:73" ht="14.25">
      <c r="A10" s="504">
        <f>Datos!AO10</f>
        <v>1</v>
      </c>
      <c r="B10" s="510" t="s">
        <v>246</v>
      </c>
      <c r="C10" s="7" t="str">
        <f>Datos!A10</f>
        <v>Jdos. Violencia contra la mujer</v>
      </c>
      <c r="D10" s="511"/>
      <c r="E10" s="1171">
        <f>IF(ISNUMBER(Datos!AQ10),Datos!AQ10," - ")</f>
        <v>0</v>
      </c>
      <c r="F10" s="228">
        <f>IF(ISNUMBER(Datos!L10+Datos!K10-Datos!J10),Datos!L10+Datos!K10-Datos!J10," - ")</f>
        <v>9</v>
      </c>
      <c r="G10" s="228">
        <f>IF(ISNUMBER(Datos!I10),Datos!I10," - ")</f>
        <v>9</v>
      </c>
      <c r="H10" s="232"/>
      <c r="I10" s="228" t="str">
        <f>IF(ISNUMBER(Datos!DB10),Datos!DB10," - ")</f>
        <v xml:space="preserve"> - </v>
      </c>
      <c r="J10" s="229" t="str">
        <f>IF(ISNUMBER(Datos!DC10),Datos!DC10," - ")</f>
        <v xml:space="preserve"> - </v>
      </c>
      <c r="K10" s="487">
        <f>IF(ISNUMBER(Datos!DF17),Datos!DF17,0)</f>
        <v>0</v>
      </c>
      <c r="L10" s="487"/>
      <c r="M10" s="487"/>
      <c r="N10" s="232">
        <f>IF(ISNUMBER(Datos!P10),Datos!P10,0)</f>
        <v>4</v>
      </c>
      <c r="O10" s="232" t="str">
        <f>IF(ISNUMBER(Datos!DE10),Datos!DE10," - ")</f>
        <v xml:space="preserve"> - </v>
      </c>
      <c r="P10" s="1123"/>
      <c r="Q10" s="1123"/>
      <c r="R10" s="487" t="str">
        <f>IF(ISNUMBER(Datos!AS10),Datos!AS10," - ")</f>
        <v xml:space="preserve"> - </v>
      </c>
      <c r="S10" s="484" t="str">
        <f>IF(ISNUMBER(R10/(Datos!BM10/factor_trimestre)),R10/(Datos!BM10/factor_trimestre)," - ")</f>
        <v xml:space="preserve"> - </v>
      </c>
      <c r="T10" s="229" t="str">
        <f>IF(ISNUMBER(Datos!EO10),Datos!EO10," - ")</f>
        <v xml:space="preserve"> - </v>
      </c>
      <c r="U10" s="994" t="e">
        <f>(T10/Datos!ER10)*factor_trimestre</f>
        <v>#VALUE!</v>
      </c>
      <c r="V10" s="487"/>
      <c r="W10" s="228" t="str">
        <f>IF(ISNUMBER(Datos!BY10),Datos!BY10," - ")</f>
        <v xml:space="preserve"> - </v>
      </c>
      <c r="X10" s="613" t="str">
        <f>IF(ISNUMBER((W10*factor_trimestre)/DatosB!CN10),(W10*factor_trimestre)/DatosB!CN10,"-")</f>
        <v>-</v>
      </c>
      <c r="Y10" s="622">
        <f>IF(ISNUMBER(Datos!K10),Datos!K10," - ")</f>
        <v>8</v>
      </c>
      <c r="Z10" s="622">
        <f>IF(ISNUMBER(Datos!Q10),Datos!Q10," - ")</f>
        <v>0</v>
      </c>
      <c r="AA10" s="335">
        <f>IF(ISNUMBER(Datos!L10),Datos!L10,"-")</f>
        <v>8</v>
      </c>
      <c r="AB10" s="337"/>
      <c r="AC10" s="337"/>
      <c r="AD10" s="487"/>
      <c r="AE10" s="487">
        <f>IF(ISNUMBER(Datos!R10),Datos!R10," - ")</f>
        <v>5</v>
      </c>
      <c r="AF10" s="232" t="str">
        <f>IF(ISNUMBER(Datos!BV10),Datos!BV10," - ")</f>
        <v xml:space="preserve"> - </v>
      </c>
      <c r="AG10" s="228" t="str">
        <f>IF(ISNUMBER(Datos!DV10),Datos!DV10," - ")</f>
        <v xml:space="preserve"> - </v>
      </c>
      <c r="AH10" s="301"/>
      <c r="AI10" s="230"/>
      <c r="AJ10" s="228">
        <f>IF(ISNUMBER(Datos!M10),Datos!M10," - ")</f>
        <v>4</v>
      </c>
      <c r="AK10" s="232">
        <f>IF(ISNUMBER(Datos!N10),Datos!N10," - ")</f>
        <v>4</v>
      </c>
      <c r="AL10" s="232" t="str">
        <f>IF(ISNUMBER(Datos!BW10),Datos!BW10," - ")</f>
        <v xml:space="preserve"> - </v>
      </c>
      <c r="AM10" s="231" t="str">
        <f>IF(ISNUMBER(Datos!BX10),Datos!BX10," - ")</f>
        <v xml:space="preserve"> - </v>
      </c>
      <c r="AN10" s="246"/>
      <c r="AO10" s="263">
        <f>IF(ISNUMBER(((NºAsuntos!I10/NºAsuntos!G10)*11)/factor_trimestre),((NºAsuntos!I10/NºAsuntos!G10)*11)/factor_trimestre," - ")</f>
        <v>11</v>
      </c>
      <c r="AP10" s="233" t="str">
        <f>IF(ISNUMBER(Datos!CI10/Datos!CJ10),Datos!CI10/Datos!CJ10," - ")</f>
        <v xml:space="preserve"> - </v>
      </c>
      <c r="AQ10" s="233" t="str">
        <f>IF(ISNUMBER((I10-Y10+K10)/(F10)),(I10-Y10+K10)/(F10)," - ")</f>
        <v xml:space="preserve"> - </v>
      </c>
      <c r="AR10" s="233">
        <f>IF(ISNUMBER((Datos!P10-Datos!Q10+Datos!DE10)/(Datos!R10-Datos!P10+Datos!Q10-Datos!DE10)),(Datos!P10-Datos!Q10+Datos!DE10)/(Datos!R10-Datos!P10+Datos!Q10-Datos!DE10)," - ")</f>
        <v>4</v>
      </c>
      <c r="AS10" s="363"/>
      <c r="AT10" s="363"/>
      <c r="AU10" s="269" t="str">
        <f>IF(ISNUMBER(Datos!EV10),Datos!EV10," - ")</f>
        <v xml:space="preserve"> - </v>
      </c>
      <c r="AV10" s="269" t="str">
        <f>IF(ISNUMBER(Datos!CW10),Datos!CW10," - ")</f>
        <v xml:space="preserve"> - </v>
      </c>
      <c r="AW10" s="269">
        <f>Datos!CX10</f>
        <v>0</v>
      </c>
      <c r="AX10" s="635">
        <f>Datos!DU10</f>
        <v>0</v>
      </c>
      <c r="AY10" s="474"/>
      <c r="BU10" s="1028">
        <f>Datos!ER10/factor_trimestre</f>
        <v>1600</v>
      </c>
    </row>
    <row r="11" spans="1:73" ht="14.25">
      <c r="A11" s="504">
        <f>Datos!AO11</f>
        <v>0</v>
      </c>
      <c r="B11" s="510" t="s">
        <v>246</v>
      </c>
      <c r="C11" s="7" t="str">
        <f>Datos!A11</f>
        <v xml:space="preserve">Jdos. Familia                                   </v>
      </c>
      <c r="D11" s="511"/>
      <c r="E11" s="1171">
        <f>IF(ISNUMBER(Datos!AQ11),Datos!AQ11," - ")</f>
        <v>0</v>
      </c>
      <c r="F11" s="228" t="str">
        <f>IF(ISNUMBER(AA11+Y11-I11-K11),AA11+Y11-I11-K11," - ")</f>
        <v xml:space="preserve"> - </v>
      </c>
      <c r="G11" s="228" t="str">
        <f>IF(ISNUMBER(IF(J_V="SI",Datos!I11,Datos!I11+Datos!Y11)-IF(Monitorios="SI",Datos!CA11,0)),
                          IF(J_V="SI",Datos!I11,Datos!I11+Datos!Y11)-IF(Monitorios="SI",Datos!CA11,0),
                          " - ")</f>
        <v xml:space="preserve"> - </v>
      </c>
      <c r="H11" s="232"/>
      <c r="I11" s="228" t="str">
        <f>IF(ISNUMBER(Datos!DC11),Datos!DC11," - ")</f>
        <v xml:space="preserve"> - </v>
      </c>
      <c r="J11" s="229" t="str">
        <f>IF(ISNUMBER(Datos!DB11),Datos!DB11," - ")</f>
        <v xml:space="preserve"> - </v>
      </c>
      <c r="K11" s="487">
        <f>IF(ISNUMBER(Datos!#REF!),Datos!#REF!,0)</f>
        <v>0</v>
      </c>
      <c r="L11" s="487"/>
      <c r="M11" s="487"/>
      <c r="N11" s="232">
        <f>IF(ISNUMBER(Datos!P11),Datos!P11,0)</f>
        <v>0</v>
      </c>
      <c r="O11" s="232" t="str">
        <f>IF(ISNUMBER(Datos!DE11),Datos!DE11," - ")</f>
        <v xml:space="preserve"> - </v>
      </c>
      <c r="P11" s="1123"/>
      <c r="Q11" s="1123"/>
      <c r="R11" s="487" t="str">
        <f>IF(ISNUMBER(Datos!AS11),Datos!AS11," - ")</f>
        <v xml:space="preserve"> - </v>
      </c>
      <c r="S11" s="484" t="str">
        <f>IF(ISNUMBER(R11/(Datos!BM11/factor_trimestre)),R11/(Datos!BM11/factor_trimestre)," - ")</f>
        <v xml:space="preserve"> - </v>
      </c>
      <c r="T11" s="229" t="str">
        <f>IF(ISNUMBER(Datos!EO11),Datos!EO11," - ")</f>
        <v xml:space="preserve"> - </v>
      </c>
      <c r="U11" s="994" t="e">
        <f>(T11/Datos!ER11)*factor_trimestre</f>
        <v>#VALUE!</v>
      </c>
      <c r="V11" s="487"/>
      <c r="W11" s="228">
        <f>IF(ISNUMBER(Datos!BY11+Datos!BZ11),Datos!BY11+Datos!BZ11," - ")</f>
        <v>0</v>
      </c>
      <c r="X11" s="613">
        <f>IF(ISNUMBER((W11*factor_trimestre)/DatosB!CN11),(W11*factor_trimestre)/DatosB!CN11,"-")</f>
        <v>0</v>
      </c>
      <c r="Y11" s="622" t="str">
        <f>IF(ISNUMBER(IF(J_V="SI",Datos!K11,Datos!K11+Datos!AA11)-IF(Monitorios="SI",Datos!CC11,0)),
                          IF(J_V="SI",Datos!K11,Datos!K11+Datos!AA11)-IF(Monitorios="SI",Datos!CC11,0),
                          " - ")</f>
        <v xml:space="preserve"> - </v>
      </c>
      <c r="Z11" s="622" t="str">
        <f>IF(ISNUMBER(Datos!Q11),Datos!Q11," - ")</f>
        <v xml:space="preserve"> - </v>
      </c>
      <c r="AA11" s="335" t="str">
        <f>IF(ISNUMBER(IF(J_V="SI",Datos!L11,Datos!L11+Datos!AB11)-IF(Monitorios="SI",Datos!CD11,0)),
                          IF(J_V="SI",Datos!L11,Datos!L11+Datos!AB11)-IF(Monitorios="SI",Datos!CD11,0),
                          " - ")</f>
        <v xml:space="preserve"> - </v>
      </c>
      <c r="AB11" s="337"/>
      <c r="AC11" s="337"/>
      <c r="AD11" s="487"/>
      <c r="AE11" s="487" t="str">
        <f>IF(ISNUMBER(Datos!R11),Datos!R11," - ")</f>
        <v xml:space="preserve"> - </v>
      </c>
      <c r="AF11" s="232" t="str">
        <f>IF(ISNUMBER(Datos!BV11),Datos!BV11," - ")</f>
        <v xml:space="preserve"> - </v>
      </c>
      <c r="AG11" s="228" t="str">
        <f>IF(ISNUMBER(Datos!DV11),Datos!DV11," - ")</f>
        <v xml:space="preserve"> - </v>
      </c>
      <c r="AH11" s="301"/>
      <c r="AI11" s="230"/>
      <c r="AJ11" s="228" t="str">
        <f>IF(ISNUMBER(Datos!M11),Datos!M11," - ")</f>
        <v xml:space="preserve"> - </v>
      </c>
      <c r="AK11" s="232" t="str">
        <f>IF(ISNUMBER(Datos!N11),Datos!N11," - ")</f>
        <v xml:space="preserve"> - </v>
      </c>
      <c r="AL11" s="232" t="str">
        <f>IF(ISNUMBER(Datos!BW11),Datos!BW11," - ")</f>
        <v xml:space="preserve"> - </v>
      </c>
      <c r="AM11" s="231" t="str">
        <f>IF(ISNUMBER(Datos!BX11),Datos!BX11," - ")</f>
        <v xml:space="preserve"> - </v>
      </c>
      <c r="AN11" s="246"/>
      <c r="AO11" s="263" t="str">
        <f>IF(ISNUMBER(((NºAsuntos!I11/NºAsuntos!G11)*11)/factor_trimestre),((NºAsuntos!I11/NºAsuntos!G11)*11)/factor_trimestre," - ")</f>
        <v xml:space="preserve"> - </v>
      </c>
      <c r="AP11" s="233" t="str">
        <f>IF(ISNUMBER(Datos!CI11/Datos!CJ11),Datos!CI11/Datos!CJ11," - ")</f>
        <v xml:space="preserve"> - </v>
      </c>
      <c r="AQ11" s="233" t="str">
        <f>IF(ISNUMBER((J11-Y11+K11)/(F11)),(J11-Y11+K11)/(F11)," - ")</f>
        <v xml:space="preserve"> - </v>
      </c>
      <c r="AR11" s="233" t="str">
        <f>IF(ISNUMBER((Datos!P11-Datos!Q11+Datos!DE11)/(Datos!R11-Datos!P11+Datos!Q11-Datos!DE11)),(Datos!P11-Datos!Q11+Datos!DE11)/(Datos!R11-Datos!P11+Datos!Q11-Datos!DE11)," - ")</f>
        <v xml:space="preserve"> - </v>
      </c>
      <c r="AS11" s="363"/>
      <c r="AT11" s="363"/>
      <c r="AU11" s="269" t="str">
        <f>IF(ISNUMBER(Datos!EV11),Datos!EV11," - ")</f>
        <v xml:space="preserve"> - </v>
      </c>
      <c r="AV11" s="269" t="str">
        <f>IF(ISNUMBER(Datos!CW11),Datos!CW11," - ")</f>
        <v xml:space="preserve"> - </v>
      </c>
      <c r="AW11" s="269">
        <f>Datos!CX11</f>
        <v>0</v>
      </c>
      <c r="AX11" s="635">
        <f>Datos!DU11</f>
        <v>0</v>
      </c>
      <c r="AY11" s="474"/>
      <c r="BU11" s="1028">
        <f>Datos!ER11/factor_trimestre</f>
        <v>1323</v>
      </c>
    </row>
    <row r="12" spans="1:73" ht="15" thickBot="1">
      <c r="A12" s="504">
        <f>Datos!AO12</f>
        <v>2</v>
      </c>
      <c r="B12" s="510" t="s">
        <v>246</v>
      </c>
      <c r="C12" s="7" t="str">
        <f>Datos!A12</f>
        <v xml:space="preserve">Jdos. 1ª Instª. e Instr.                        </v>
      </c>
      <c r="D12" s="511"/>
      <c r="E12" s="1171">
        <f>IF(ISNUMBER(Datos!AQ12),Datos!AQ12," - ")</f>
        <v>2</v>
      </c>
      <c r="F12" s="228" t="str">
        <f>IF(ISNUMBER(AA12+Y12-I12-K12),AA12+Y12-I12-K12," - ")</f>
        <v xml:space="preserve"> - </v>
      </c>
      <c r="G12" s="228" t="str">
        <f>IF(ISNUMBER(IF(J_V="SI",Datos!I12,Datos!I12+Datos!Y12)-IF(Monitorios="SI",Datos!CA12,0)),
                          IF(J_V="SI",Datos!I12,Datos!I12+Datos!Y12)-IF(Monitorios="SI",Datos!CA12,0),
                          " - ")</f>
        <v xml:space="preserve"> - </v>
      </c>
      <c r="H12" s="232"/>
      <c r="I12" s="228" t="str">
        <f>IF(ISNUMBER(Datos!DC12),Datos!DC12," - ")</f>
        <v xml:space="preserve"> - </v>
      </c>
      <c r="J12" s="229" t="str">
        <f>IF(ISNUMBER(Datos!DB12),Datos!DB12," - ")</f>
        <v xml:space="preserve"> - </v>
      </c>
      <c r="K12" s="487">
        <f>IF(ISNUMBER(Datos!#REF!),Datos!#REF!,0)</f>
        <v>0</v>
      </c>
      <c r="L12" s="487"/>
      <c r="M12" s="487"/>
      <c r="N12" s="232">
        <f>IF(ISNUMBER(Datos!P12),Datos!P12,0)</f>
        <v>245</v>
      </c>
      <c r="O12" s="232" t="str">
        <f>IF(ISNUMBER(Datos!DE12),Datos!DE12," - ")</f>
        <v xml:space="preserve"> - </v>
      </c>
      <c r="P12" s="1123"/>
      <c r="Q12" s="1123"/>
      <c r="R12" s="487" t="str">
        <f>IF(ISNUMBER(Datos!AS12*(2500/380)+DatosP!AS12),Datos!AS12*(2500/380)+DatosP!AS12," - ")</f>
        <v xml:space="preserve"> - </v>
      </c>
      <c r="S12" s="484" t="str">
        <f>IF(ISNUMBER(R12/(Datos!BM12/factor_trimestre)),R12/(Datos!BM12/factor_trimestre)," - ")</f>
        <v xml:space="preserve"> - </v>
      </c>
      <c r="T12" s="229" t="str">
        <f>IF(ISNUMBER(Datos!EO12),Datos!EO12," - ")</f>
        <v xml:space="preserve"> - </v>
      </c>
      <c r="U12" s="994" t="e">
        <f>(T12/Datos!ER12)*factor_trimestre</f>
        <v>#VALUE!</v>
      </c>
      <c r="V12" s="487" t="str">
        <f>IF(ISNUMBER(Datos!CB12),Datos!CB12," - ")</f>
        <v xml:space="preserve"> - </v>
      </c>
      <c r="W12" s="228" t="str">
        <f>IF(ISNUMBER(Datos!BY12),Datos!BY12," - ")</f>
        <v xml:space="preserve"> - </v>
      </c>
      <c r="X12" s="613" t="str">
        <f>IF(ISNUMBER((W12*factor_trimestre)/DatosB!CN12),(W12*factor_trimestre)/DatosB!CN12,"-")</f>
        <v>-</v>
      </c>
      <c r="Y12" s="622" t="str">
        <f>IF(ISNUMBER(IF(J_V="SI",Datos!K12,Datos!K12+Datos!AA12)-IF(Monitorios="SI",Datos!CC12,0)),
                          IF(J_V="SI",Datos!K12,Datos!K12+Datos!AA12)-IF(Monitorios="SI",Datos!CC12,0),
                          " - ")</f>
        <v xml:space="preserve"> - </v>
      </c>
      <c r="Z12" s="622">
        <f>IF(ISNUMBER(Datos!Q12),Datos!Q12," - ")</f>
        <v>280</v>
      </c>
      <c r="AA12" s="335" t="str">
        <f>IF(ISNUMBER(IF(J_V="SI",Datos!L12,Datos!L12+Datos!AB12)-IF(Monitorios="SI",Datos!CD12,0)),
                          IF(J_V="SI",Datos!L12,Datos!L12+Datos!AB12)-IF(Monitorios="SI",Datos!CD12,0),
                          " - ")</f>
        <v xml:space="preserve"> - </v>
      </c>
      <c r="AB12" s="337"/>
      <c r="AC12" s="337"/>
      <c r="AD12" s="487"/>
      <c r="AE12" s="487">
        <f>IF(ISNUMBER(Datos!R12),Datos!R12," - ")</f>
        <v>1087</v>
      </c>
      <c r="AF12" s="232" t="str">
        <f>IF(ISNUMBER(Datos!BV12),Datos!BV12," - ")</f>
        <v xml:space="preserve"> - </v>
      </c>
      <c r="AG12" s="228" t="str">
        <f>IF(ISNUMBER(Datos!DV12),Datos!DV12," - ")</f>
        <v xml:space="preserve"> - </v>
      </c>
      <c r="AH12" s="301"/>
      <c r="AI12" s="230"/>
      <c r="AJ12" s="228">
        <f>IF(ISNUMBER(Datos!M12),Datos!M12," - ")</f>
        <v>237</v>
      </c>
      <c r="AK12" s="232">
        <f>IF(ISNUMBER(Datos!N12),Datos!N12," - ")</f>
        <v>393</v>
      </c>
      <c r="AL12" s="232" t="str">
        <f>IF(ISNUMBER(Datos!BW12),Datos!BW12," - ")</f>
        <v xml:space="preserve"> - </v>
      </c>
      <c r="AM12" s="231" t="str">
        <f>IF(ISNUMBER(Datos!BX12),Datos!BX12," - ")</f>
        <v xml:space="preserve"> - </v>
      </c>
      <c r="AN12" s="246"/>
      <c r="AO12" s="263">
        <f>IF(ISNUMBER(((NºAsuntos!I12/NºAsuntos!G12)*11)/factor_trimestre),((NºAsuntos!I12/NºAsuntos!G12)*11)/factor_trimestre," - ")</f>
        <v>8.8148148148148149</v>
      </c>
      <c r="AP12" s="233" t="str">
        <f>IF(ISNUMBER(Datos!CI12/Datos!CJ12),Datos!CI12/Datos!CJ12," - ")</f>
        <v xml:space="preserve"> - </v>
      </c>
      <c r="AQ12" s="233" t="str">
        <f>IF(ISNUMBER((J12-Y12+K12)/(F12)),(J12-Y12+K12)/(F12)," - ")</f>
        <v xml:space="preserve"> - </v>
      </c>
      <c r="AR12" s="233">
        <f>IF(ISNUMBER((Datos!P12-Datos!Q12+Datos!DE12)/(Datos!R12-Datos!P12+Datos!Q12-Datos!DE12)),(Datos!P12-Datos!Q12+Datos!DE12)/(Datos!R12-Datos!P12+Datos!Q12-Datos!DE12)," - ")</f>
        <v>-3.1194295900178252E-2</v>
      </c>
      <c r="AS12" s="363"/>
      <c r="AT12" s="363"/>
      <c r="AU12" s="269" t="str">
        <f>IF(ISNUMBER(Datos!EV12),Datos!EV12," - ")</f>
        <v xml:space="preserve"> - </v>
      </c>
      <c r="AV12" s="269" t="str">
        <f>IF(ISNUMBER(Datos!CW12),Datos!CW12," - ")</f>
        <v xml:space="preserve"> - </v>
      </c>
      <c r="AW12" s="269">
        <f>Datos!CX12</f>
        <v>0</v>
      </c>
      <c r="AX12" s="635">
        <f>Datos!DU12</f>
        <v>0</v>
      </c>
      <c r="AY12" s="474"/>
      <c r="BU12" s="1028">
        <f>Datos!ER12/factor_trimestre</f>
        <v>680</v>
      </c>
    </row>
    <row r="13" spans="1:73" ht="15.75" thickTop="1" thickBot="1">
      <c r="A13" s="181"/>
      <c r="B13" s="181"/>
      <c r="C13" s="866" t="str">
        <f>Datos!A13</f>
        <v>TOTAL</v>
      </c>
      <c r="D13" s="866"/>
      <c r="E13" s="901">
        <f>SUBTOTAL(9,E8:E12)</f>
        <v>2</v>
      </c>
      <c r="F13" s="901">
        <f>SUBTOTAL(9,F8:F12)</f>
        <v>9</v>
      </c>
      <c r="G13" s="901">
        <f>SUBTOTAL(9,G8:G12)</f>
        <v>9</v>
      </c>
      <c r="H13" s="911"/>
      <c r="I13" s="901">
        <f t="shared" ref="I13:N13" si="0">SUBTOTAL(9,I8:I12)</f>
        <v>0</v>
      </c>
      <c r="J13" s="870">
        <f t="shared" si="0"/>
        <v>0</v>
      </c>
      <c r="K13" s="911">
        <f t="shared" si="0"/>
        <v>0</v>
      </c>
      <c r="L13" s="911">
        <f t="shared" si="0"/>
        <v>0</v>
      </c>
      <c r="M13" s="911">
        <f t="shared" si="0"/>
        <v>0</v>
      </c>
      <c r="N13" s="911">
        <f t="shared" si="0"/>
        <v>249</v>
      </c>
      <c r="O13" s="911"/>
      <c r="P13" s="1124"/>
      <c r="Q13" s="1124"/>
      <c r="R13" s="911">
        <f t="shared" ref="R13:W13" si="1">SUBTOTAL(9,R8:R12)</f>
        <v>0</v>
      </c>
      <c r="S13" s="1124">
        <f t="shared" si="1"/>
        <v>0</v>
      </c>
      <c r="T13" s="870">
        <f t="shared" si="1"/>
        <v>0</v>
      </c>
      <c r="U13" s="872" t="e">
        <f t="shared" si="1"/>
        <v>#VALUE!</v>
      </c>
      <c r="V13" s="910">
        <f t="shared" si="1"/>
        <v>0</v>
      </c>
      <c r="W13" s="911">
        <f t="shared" si="1"/>
        <v>0</v>
      </c>
      <c r="X13" s="932">
        <f>IF(ISNUMBER((W13*factor_trimestre)/Datos!CN13),(W13*factor_trimestre)/Datos!CN13,"-")</f>
        <v>0</v>
      </c>
      <c r="Y13" s="910">
        <f t="shared" ref="Y13:AN13" si="2">SUBTOTAL(9,Y8:Y12)</f>
        <v>8</v>
      </c>
      <c r="Z13" s="910">
        <f t="shared" si="2"/>
        <v>280</v>
      </c>
      <c r="AA13" s="903">
        <f t="shared" si="2"/>
        <v>8</v>
      </c>
      <c r="AB13" s="903">
        <f t="shared" si="2"/>
        <v>0</v>
      </c>
      <c r="AC13" s="903">
        <f t="shared" si="2"/>
        <v>0</v>
      </c>
      <c r="AD13" s="903">
        <f t="shared" si="2"/>
        <v>0</v>
      </c>
      <c r="AE13" s="903">
        <f t="shared" si="2"/>
        <v>1092</v>
      </c>
      <c r="AF13" s="911">
        <f t="shared" si="2"/>
        <v>0</v>
      </c>
      <c r="AG13" s="911">
        <f t="shared" si="2"/>
        <v>0</v>
      </c>
      <c r="AH13" s="911">
        <f t="shared" si="2"/>
        <v>0</v>
      </c>
      <c r="AI13" s="911">
        <f t="shared" si="2"/>
        <v>0</v>
      </c>
      <c r="AJ13" s="911">
        <f t="shared" si="2"/>
        <v>241</v>
      </c>
      <c r="AK13" s="911">
        <f t="shared" si="2"/>
        <v>397</v>
      </c>
      <c r="AL13" s="911">
        <f t="shared" si="2"/>
        <v>0</v>
      </c>
      <c r="AM13" s="911">
        <f t="shared" si="2"/>
        <v>0</v>
      </c>
      <c r="AN13" s="911">
        <f t="shared" si="2"/>
        <v>0</v>
      </c>
      <c r="AO13" s="907">
        <f>IF(ISNUMBER(((NºAsuntos!I13/NºAsuntos!G13)*11)/factor_trimestre),((NºAsuntos!I13/NºAsuntos!G13)*11)/factor_trimestre," - ")</f>
        <v>8.8342602892102331</v>
      </c>
      <c r="AP13" s="913" t="str">
        <f>IF(ISNUMBER(Datos!CI13/Datos!CJ13),Datos!CI13/Datos!CJ13," - ")</f>
        <v xml:space="preserve"> - </v>
      </c>
      <c r="AQ13" s="931">
        <f t="shared" ref="AQ13:AV13" si="3">SUBTOTAL(9,AQ9:AQ12)</f>
        <v>0</v>
      </c>
      <c r="AR13" s="931">
        <f t="shared" si="3"/>
        <v>3.9688057040998217</v>
      </c>
      <c r="AS13" s="911">
        <f t="shared" si="3"/>
        <v>0</v>
      </c>
      <c r="AT13" s="911">
        <f t="shared" si="3"/>
        <v>0</v>
      </c>
      <c r="AU13" s="911">
        <f t="shared" si="3"/>
        <v>0</v>
      </c>
      <c r="AV13" s="911">
        <f t="shared" si="3"/>
        <v>0</v>
      </c>
      <c r="AW13" s="933"/>
      <c r="AX13" s="934"/>
      <c r="BU13" s="902"/>
    </row>
    <row r="14" spans="1:73" ht="15" thickTop="1">
      <c r="A14" s="513"/>
      <c r="B14" s="513"/>
      <c r="C14" s="289" t="str">
        <f>Datos!A14</f>
        <v xml:space="preserve">Jurisdicción Penal ( 2 ):                      </v>
      </c>
      <c r="D14" s="514"/>
      <c r="E14" s="582"/>
      <c r="F14" s="237"/>
      <c r="G14" s="638"/>
      <c r="H14" s="232"/>
      <c r="I14" s="501"/>
      <c r="J14" s="220"/>
      <c r="K14" s="487"/>
      <c r="L14" s="487"/>
      <c r="M14" s="487"/>
      <c r="N14" s="232"/>
      <c r="O14" s="232"/>
      <c r="P14" s="1123"/>
      <c r="Q14" s="1123"/>
      <c r="R14" s="364"/>
      <c r="S14" s="1118"/>
      <c r="T14" s="303"/>
      <c r="U14" s="995"/>
      <c r="V14" s="612"/>
      <c r="W14" s="228"/>
      <c r="X14" s="481"/>
      <c r="Y14" s="619"/>
      <c r="Z14" s="621"/>
      <c r="AA14" s="501"/>
      <c r="AB14" s="337"/>
      <c r="AC14" s="337"/>
      <c r="AD14" s="487"/>
      <c r="AE14" s="487"/>
      <c r="AF14" s="517"/>
      <c r="AG14" s="228"/>
      <c r="AH14" s="301"/>
      <c r="AI14" s="230"/>
      <c r="AJ14" s="228"/>
      <c r="AK14" s="232"/>
      <c r="AL14" s="232"/>
      <c r="AM14" s="231"/>
      <c r="AN14" s="246"/>
      <c r="AO14" s="263"/>
      <c r="AP14" s="233"/>
      <c r="AQ14" s="233"/>
      <c r="AR14" s="233"/>
      <c r="AS14" s="577"/>
      <c r="AT14" s="577"/>
      <c r="AU14" s="363"/>
      <c r="AV14" s="363"/>
      <c r="AW14" s="269"/>
      <c r="AX14" s="540"/>
      <c r="BU14" s="483"/>
    </row>
    <row r="15" spans="1:73" ht="14.25">
      <c r="A15" s="504">
        <f>Datos!AO15</f>
        <v>0</v>
      </c>
      <c r="B15" s="510" t="s">
        <v>396</v>
      </c>
      <c r="C15" s="163" t="str">
        <f>Datos!A15</f>
        <v xml:space="preserve">Jdos. Instrucción                               </v>
      </c>
      <c r="D15" s="505"/>
      <c r="E15" s="1171">
        <f>IF(ISNUMBER(Datos!AQ15),Datos!AQ15," - ")</f>
        <v>0</v>
      </c>
      <c r="F15" s="336" t="str">
        <f>IF(ISNUMBER(AA15+Y15-Datos!J15-K15),AA15+Y15-Datos!J15-K15," - ")</f>
        <v xml:space="preserve"> - </v>
      </c>
      <c r="G15" s="228" t="str">
        <f>IF(ISNUMBER(IF(D_I="SI",Datos!I15,Datos!I15+Datos!AC15)),IF(D_I="SI",Datos!I15,Datos!I15+Datos!AC15)," - ")</f>
        <v xml:space="preserve"> - </v>
      </c>
      <c r="H15" s="232"/>
      <c r="I15" s="232" t="str">
        <f>IF(ISNUMBER(Datos!DC15),Datos!DC15," - ")</f>
        <v xml:space="preserve"> - </v>
      </c>
      <c r="J15" s="229" t="str">
        <f>IF(ISNUMBER(Datos!DC15),Datos!DC15," - ")</f>
        <v xml:space="preserve"> - </v>
      </c>
      <c r="K15" s="487">
        <f>IF(ISNUMBER(Datos!DF15),Datos!DF15,0)</f>
        <v>0</v>
      </c>
      <c r="L15" s="487" t="str">
        <f>IF(ISNUMBER(Datos!EB15),Datos!EB15," - ")</f>
        <v xml:space="preserve"> - </v>
      </c>
      <c r="M15" s="487" t="str">
        <f>IF(ISNUMBER(Datos!EC15),Datos!EC15," - ")</f>
        <v xml:space="preserve"> - </v>
      </c>
      <c r="N15" s="232">
        <f>IF(ISNUMBER(Datos!P15),Datos!P15,0)</f>
        <v>0</v>
      </c>
      <c r="O15" s="232" t="str">
        <f>IF(ISNUMBER(Datos!DE15),Datos!DE15," - ")</f>
        <v xml:space="preserve"> - </v>
      </c>
      <c r="P15" s="1123" t="str">
        <f>IF(ISNUMBER(Datos!EB15*factor_trimestre/Datos!EE15),Datos!EB15*factor_trimestre/Datos!EE15," - ")</f>
        <v xml:space="preserve"> - </v>
      </c>
      <c r="Q15" s="1123" t="str">
        <f>IF(ISNUMBER(Datos!EC15*factor_trimestre/Datos!EF15),Datos!EC15*factor_trimestre/Datos!EF15," - ")</f>
        <v xml:space="preserve"> - </v>
      </c>
      <c r="R15" s="487">
        <f>IF(ISNUMBER((Datos!AS15+Datos!AT15)),(Datos!AS15+Datos!AT15),0)</f>
        <v>0</v>
      </c>
      <c r="S15" s="484">
        <f>IF(ISNUMBER(R15/(Datos!BM15/factor_trimestre)),R15/(Datos!BM15/factor_trimestre)," - ")</f>
        <v>0</v>
      </c>
      <c r="T15" s="229" t="str">
        <f>IF(ISNUMBER(Datos!EO15),Datos!EO15," - ")</f>
        <v xml:space="preserve"> - </v>
      </c>
      <c r="U15" s="994" t="e">
        <f>(T15/Datos!ER15)*factor_trimestre</f>
        <v>#VALUE!</v>
      </c>
      <c r="V15" s="487"/>
      <c r="W15" s="228">
        <f>IF(ISNUMBER(Datos!BY15+Datos!BZ15*1.16),Datos!BY15+Datos!BZ15*1.16," - ")</f>
        <v>0</v>
      </c>
      <c r="X15" s="613">
        <f>IF(ISNUMBER((W15*factor_trimestre)/DatosB!CN15),(W15*factor_trimestre)/DatosB!CN15,"-")</f>
        <v>0</v>
      </c>
      <c r="Y15" s="622" t="str">
        <f>IF(ISNUMBER(IF(D_I="SI",Datos!K15,Datos!K15+Datos!AE15)),IF(D_I="SI",Datos!K15,Datos!K15+Datos!AE15)," - ")</f>
        <v xml:space="preserve"> - </v>
      </c>
      <c r="Z15" s="622" t="str">
        <f>IF(ISNUMBER(Datos!Q15),Datos!Q15," - ")</f>
        <v xml:space="preserve"> - </v>
      </c>
      <c r="AA15" s="335" t="str">
        <f>IF(ISNUMBER(IF(D_I="SI",Datos!L15,Datos!L15+Datos!AF15)),IF(D_I="SI",Datos!L15,Datos!L15+Datos!AF15)," - ")</f>
        <v xml:space="preserve"> - </v>
      </c>
      <c r="AB15" s="337"/>
      <c r="AC15" s="337"/>
      <c r="AD15" s="487"/>
      <c r="AE15" s="487" t="str">
        <f>IF(ISNUMBER(Datos!R15),Datos!R15," - ")</f>
        <v xml:space="preserve"> - </v>
      </c>
      <c r="AF15" s="232" t="str">
        <f>IF(ISNUMBER(Datos!BV15),Datos!BV15," - ")</f>
        <v xml:space="preserve"> - </v>
      </c>
      <c r="AG15" s="228"/>
      <c r="AH15" s="301"/>
      <c r="AI15" s="230"/>
      <c r="AJ15" s="228" t="str">
        <f>IF(ISNUMBER(Datos!M15),Datos!M15," - ")</f>
        <v xml:space="preserve"> - </v>
      </c>
      <c r="AK15" s="232" t="str">
        <f>IF(ISNUMBER(Datos!N15),Datos!N15," - ")</f>
        <v xml:space="preserve"> - </v>
      </c>
      <c r="AL15" s="232" t="str">
        <f>IF(ISNUMBER(Datos!BW15),Datos!BW15," - ")</f>
        <v xml:space="preserve"> - </v>
      </c>
      <c r="AM15" s="231" t="str">
        <f>IF(ISNUMBER(Datos!BX15),Datos!BX15," - ")</f>
        <v xml:space="preserve"> - </v>
      </c>
      <c r="AN15" s="246"/>
      <c r="AO15" s="263" t="str">
        <f>IF(ISNUMBER(((NºAsuntos!I15/NºAsuntos!G15)*11)/factor_trimestre),((NºAsuntos!I15/NºAsuntos!G15)*11)/factor_trimestre," - ")</f>
        <v xml:space="preserve"> - </v>
      </c>
      <c r="AP15" s="233" t="str">
        <f>IF(ISNUMBER(Datos!CI15/Datos!CJ15),Datos!CI15/Datos!CJ15," - ")</f>
        <v xml:space="preserve"> - </v>
      </c>
      <c r="AQ15" s="233" t="str">
        <f>IF(ISNUMBER((J15-Y15+K15)/(F15)),(J15-Y15+K15)/(F15)," - ")</f>
        <v xml:space="preserve"> - </v>
      </c>
      <c r="AR15" s="233" t="str">
        <f>IF(ISNUMBER((Datos!P15-Datos!Q15+O15)/(Datos!R15-Datos!P15+Datos!Q15-O15)),(Datos!P15-Datos!Q15+O15)/(Datos!R15-Datos!P15+Datos!Q15-O15)," - ")</f>
        <v xml:space="preserve"> - </v>
      </c>
      <c r="AS15" s="269" t="str">
        <f>IF(ISNUMBER(Datos!CS15),Datos!CS15," - ")</f>
        <v xml:space="preserve"> - </v>
      </c>
      <c r="AT15" s="269" t="str">
        <f>IF(ISNUMBER(Datos!EI15),Datos!EI15," - ")</f>
        <v xml:space="preserve"> - </v>
      </c>
      <c r="AU15" s="269" t="str">
        <f>IF(ISNUMBER(Datos!EV15),Datos!EV15," - ")</f>
        <v xml:space="preserve"> - </v>
      </c>
      <c r="AV15" s="269" t="str">
        <f>IF(ISNUMBER(Datos!CW15),Datos!CW15," - ")</f>
        <v xml:space="preserve"> - </v>
      </c>
      <c r="AW15" s="269">
        <f>Datos!CX15</f>
        <v>0</v>
      </c>
      <c r="AX15" s="488">
        <f>Datos!DU15</f>
        <v>0</v>
      </c>
      <c r="AY15" s="474"/>
      <c r="BU15" s="1028">
        <f>Datos!ER15/factor_trimestre</f>
        <v>3300</v>
      </c>
    </row>
    <row r="16" spans="1:73" ht="14.25">
      <c r="A16" s="504">
        <f>Datos!AO16</f>
        <v>2</v>
      </c>
      <c r="B16" s="510" t="s">
        <v>396</v>
      </c>
      <c r="C16" s="163" t="str">
        <f>Datos!A16</f>
        <v xml:space="preserve">Jdos. 1ª Instª. e Instr.                        </v>
      </c>
      <c r="D16" s="505"/>
      <c r="E16" s="1171">
        <f>IF(ISNUMBER(Datos!AQ16),Datos!AQ16," - ")</f>
        <v>2</v>
      </c>
      <c r="F16" s="336">
        <f>IF(ISNUMBER(AA16+Y16-Datos!J16-K15),AA16+Y16-Datos!J16-K15," - ")</f>
        <v>206</v>
      </c>
      <c r="G16" s="228">
        <f>IF(ISNUMBER(IF(D_I="SI",Datos!I16,Datos!I16+Datos!AC16)),IF(D_I="SI",Datos!I16,Datos!I16+Datos!AC16)," - ")</f>
        <v>201</v>
      </c>
      <c r="H16" s="232"/>
      <c r="I16" s="232" t="str">
        <f>IF(ISNUMBER(Datos!DC16),Datos!DC16," - ")</f>
        <v xml:space="preserve"> - </v>
      </c>
      <c r="J16" s="229" t="str">
        <f>IF(ISNUMBER(Datos!DC16),Datos!DC16," - ")</f>
        <v xml:space="preserve"> - </v>
      </c>
      <c r="K16" s="487">
        <f>IF(ISNUMBER(Datos!DF16),Datos!DF16,0)</f>
        <v>0</v>
      </c>
      <c r="L16" s="487"/>
      <c r="M16" s="487"/>
      <c r="N16" s="232">
        <f>IF(ISNUMBER(Datos!P16),Datos!P16,0)</f>
        <v>32</v>
      </c>
      <c r="O16" s="232" t="str">
        <f>IF(ISNUMBER(Datos!DE16),Datos!DE16," - ")</f>
        <v xml:space="preserve"> - </v>
      </c>
      <c r="P16" s="1123"/>
      <c r="Q16" s="1123"/>
      <c r="R16" s="487" t="str">
        <f>IF(ISNUMBER(Datos!AS16*(2500/380)+DatosP!AS16),Datos!AS16*(2500/380)+DatosP!AS16," - ")</f>
        <v xml:space="preserve"> - </v>
      </c>
      <c r="S16" s="484" t="str">
        <f>IF(ISNUMBER(R16/(Datos!BM16/factor_trimestre)),R16/(Datos!BM16/factor_trimestre)," - ")</f>
        <v xml:space="preserve"> - </v>
      </c>
      <c r="T16" s="229" t="str">
        <f>IF(ISNUMBER(Datos!EO16),Datos!EO16," - ")</f>
        <v xml:space="preserve"> - </v>
      </c>
      <c r="U16" s="994" t="e">
        <f>(T16/Datos!ER16)*factor_trimestre</f>
        <v>#VALUE!</v>
      </c>
      <c r="V16" s="487"/>
      <c r="W16" s="228" t="str">
        <f>IF(ISNUMBER(Datos!BY16),Datos!BY16," - ")</f>
        <v xml:space="preserve"> - </v>
      </c>
      <c r="X16" s="613" t="str">
        <f>IF(ISNUMBER((W16*factor_trimestre)/DatosB!CN16),(W16*factor_trimestre)/DatosB!CN16,"-")</f>
        <v>-</v>
      </c>
      <c r="Y16" s="622">
        <f>IF(ISNUMBER(IF(D_I="SI",Datos!K16,Datos!K16+Datos!AE16)),IF(D_I="SI",Datos!K16,Datos!K16+Datos!AE16)," - ")</f>
        <v>882</v>
      </c>
      <c r="Z16" s="622">
        <f>IF(ISNUMBER(Datos!Q16),Datos!Q16," - ")</f>
        <v>26</v>
      </c>
      <c r="AA16" s="335">
        <f>IF(ISNUMBER(IF(D_I="SI",Datos!L16,Datos!L16+Datos!AF16)),IF(D_I="SI",Datos!L16,Datos!L16+Datos!AF16)," - ")</f>
        <v>263</v>
      </c>
      <c r="AB16" s="337"/>
      <c r="AC16" s="337"/>
      <c r="AD16" s="487"/>
      <c r="AE16" s="487">
        <f>IF(ISNUMBER(Datos!R16),Datos!R16," - ")</f>
        <v>48</v>
      </c>
      <c r="AF16" s="232" t="str">
        <f>IF(ISNUMBER(Datos!BV16),Datos!BV16," - ")</f>
        <v xml:space="preserve"> - </v>
      </c>
      <c r="AG16" s="228"/>
      <c r="AH16" s="301"/>
      <c r="AI16" s="230"/>
      <c r="AJ16" s="228">
        <f>IF(ISNUMBER(Datos!M16),Datos!M16," - ")</f>
        <v>120</v>
      </c>
      <c r="AK16" s="232">
        <f>IF(ISNUMBER(Datos!N16),Datos!N16," - ")</f>
        <v>521</v>
      </c>
      <c r="AL16" s="232" t="str">
        <f>IF(ISNUMBER(Datos!BW16),Datos!BW16," - ")</f>
        <v xml:space="preserve"> - </v>
      </c>
      <c r="AM16" s="231" t="str">
        <f>IF(ISNUMBER(Datos!BX16),Datos!BX16," - ")</f>
        <v xml:space="preserve"> - </v>
      </c>
      <c r="AN16" s="246"/>
      <c r="AO16" s="263">
        <f>IF(ISNUMBER(((NºAsuntos!I16/NºAsuntos!G16)*11)/factor_trimestre),((NºAsuntos!I16/NºAsuntos!G16)*11)/factor_trimestre," - ")</f>
        <v>3.2800453514739227</v>
      </c>
      <c r="AP16" s="233" t="str">
        <f>IF(ISNUMBER(Datos!CI16/Datos!CJ16),Datos!CI16/Datos!CJ16," - ")</f>
        <v xml:space="preserve"> - </v>
      </c>
      <c r="AQ16" s="233" t="str">
        <f>IF(ISNUMBER((J16-Y16+K16)/(F16)),(J16-Y16+K16)/(F16)," - ")</f>
        <v xml:space="preserve"> - </v>
      </c>
      <c r="AR16" s="233" t="str">
        <f>IF(ISNUMBER((Datos!P16-Datos!Q16+O16)/(Datos!R16-Datos!P16+Datos!Q16-O16)),(Datos!P16-Datos!Q16+O16)/(Datos!R16-Datos!P16+Datos!Q16-O16)," - ")</f>
        <v xml:space="preserve"> - </v>
      </c>
      <c r="AS16" s="269" t="str">
        <f>IF(ISNUMBER(Datos!CS16),Datos!CS16," - ")</f>
        <v xml:space="preserve"> - </v>
      </c>
      <c r="AT16" s="269" t="str">
        <f>IF(ISNUMBER(Datos!EI16),Datos!EI16," - ")</f>
        <v xml:space="preserve"> - </v>
      </c>
      <c r="AU16" s="269" t="str">
        <f>IF(ISNUMBER(Datos!EV16),Datos!EV16," - ")</f>
        <v xml:space="preserve"> - </v>
      </c>
      <c r="AV16" s="269" t="str">
        <f>IF(ISNUMBER(Datos!CW16),Datos!CW16," - ")</f>
        <v xml:space="preserve"> - </v>
      </c>
      <c r="AW16" s="269">
        <f>Datos!CX16</f>
        <v>0</v>
      </c>
      <c r="AX16" s="488">
        <f>Datos!DU16</f>
        <v>0</v>
      </c>
      <c r="AY16" s="474"/>
      <c r="BU16" s="1028">
        <f>Datos!ER16/factor_trimestre</f>
        <v>1000</v>
      </c>
    </row>
    <row r="17" spans="1:73" ht="15" thickBot="1">
      <c r="A17" s="504">
        <f>Datos!AO17</f>
        <v>1</v>
      </c>
      <c r="B17" s="510" t="s">
        <v>396</v>
      </c>
      <c r="C17" s="7" t="str">
        <f>Datos!A17</f>
        <v>Jdos. Violencia contra la mujer</v>
      </c>
      <c r="D17" s="511"/>
      <c r="E17" s="1171">
        <f>IF(ISNUMBER(Datos!AQ17),Datos!AQ17," - ")</f>
        <v>0</v>
      </c>
      <c r="F17" s="228" t="str">
        <f>IF(ISNUMBER(AA17+Y17-I17-K17),AA17+Y17-I17-K17," - ")</f>
        <v xml:space="preserve"> - </v>
      </c>
      <c r="G17" s="526">
        <f>IF(ISNUMBER(IF(D_I="SI",Datos!I17,Datos!I17+Datos!AC17)),IF(D_I="SI",Datos!I17,Datos!I17+Datos!AC17)," - ")</f>
        <v>10</v>
      </c>
      <c r="H17" s="232"/>
      <c r="I17" s="228" t="str">
        <f>IF(ISNUMBER(Datos!DB17),Datos!DB17," - ")</f>
        <v xml:space="preserve"> - </v>
      </c>
      <c r="J17" s="229" t="str">
        <f>IF(ISNUMBER(Datos!DC17),Datos!DC17," - ")</f>
        <v xml:space="preserve"> - </v>
      </c>
      <c r="K17" s="487">
        <f>IF(ISNUMBER(Datos!DF17),Datos!DF17,0)</f>
        <v>0</v>
      </c>
      <c r="L17" s="487" t="str">
        <f>IF(ISNUMBER(Datos!EB17),Datos!EB17," - ")</f>
        <v xml:space="preserve"> - </v>
      </c>
      <c r="M17" s="487" t="str">
        <f>IF(ISNUMBER(Datos!EC17),Datos!EC17," - ")</f>
        <v xml:space="preserve"> - </v>
      </c>
      <c r="N17" s="232">
        <f>IF(ISNUMBER(Datos!P17),Datos!P17,0)</f>
        <v>3</v>
      </c>
      <c r="O17" s="232" t="str">
        <f>IF(ISNUMBER(Datos!DE17),Datos!DE17," - ")</f>
        <v xml:space="preserve"> - </v>
      </c>
      <c r="P17" s="1123" t="str">
        <f>IF(ISNUMBER(Datos!EB17*factor_trimestre/Datos!EE17),Datos!EB17*factor_trimestre/Datos!EE17," - ")</f>
        <v xml:space="preserve"> - </v>
      </c>
      <c r="Q17" s="1123" t="str">
        <f>IF(ISNUMBER(Datos!EC17*factor_trimestre/Datos!EF17),Datos!EC17*factor_trimestre/Datos!EF17," - ")</f>
        <v xml:space="preserve"> - </v>
      </c>
      <c r="R17" s="487" t="str">
        <f>IF(ISNUMBER((Datos!AS17+Datos!AT17)),(Datos!AS17+Datos!AT17)," - ")</f>
        <v xml:space="preserve"> - </v>
      </c>
      <c r="S17" s="484" t="str">
        <f>IF(ISNUMBER(R17/(Datos!BM17/factor_trimestre)),R17/(Datos!BM17/factor_trimestre)," - ")</f>
        <v xml:space="preserve"> - </v>
      </c>
      <c r="T17" s="229" t="str">
        <f>IF(ISNUMBER(Datos!EO17),Datos!EO17," - ")</f>
        <v xml:space="preserve"> - </v>
      </c>
      <c r="U17" s="994" t="e">
        <f>(T17/Datos!ER17)*factor_trimestre</f>
        <v>#VALUE!</v>
      </c>
      <c r="V17" s="487"/>
      <c r="W17" s="228" t="str">
        <f>IF(ISNUMBER(Datos!BY17+Datos!BZ17),Datos!BY17+Datos!BZ17," - ")</f>
        <v xml:space="preserve"> - </v>
      </c>
      <c r="X17" s="613" t="str">
        <f>IF(ISNUMBER((W17*factor_trimestre)/DatosB!CN17),(W17*factor_trimestre)/DatosB!CN17,"-")</f>
        <v>-</v>
      </c>
      <c r="Y17" s="622">
        <f>IF(ISNUMBER(IF(D_I="SI",Datos!K17,Datos!K17+Datos!AE17)),IF(D_I="SI",Datos!K17,Datos!K17+Datos!AE17)," - ")</f>
        <v>104</v>
      </c>
      <c r="Z17" s="622">
        <f>IF(ISNUMBER(Datos!Q17),Datos!Q17," - ")</f>
        <v>1</v>
      </c>
      <c r="AA17" s="335">
        <f>IF(ISNUMBER(Datos!L17),Datos!L17,"-")</f>
        <v>14</v>
      </c>
      <c r="AB17" s="337"/>
      <c r="AC17" s="337"/>
      <c r="AD17" s="487"/>
      <c r="AE17" s="487">
        <f>IF(ISNUMBER(Datos!R17),Datos!R17," - ")</f>
        <v>3</v>
      </c>
      <c r="AF17" s="232" t="str">
        <f>IF(ISNUMBER(Datos!BV17),Datos!BV17," - ")</f>
        <v xml:space="preserve"> - </v>
      </c>
      <c r="AG17" s="228" t="str">
        <f>IF(ISNUMBER(Datos!DV17),Datos!DV17," - ")</f>
        <v xml:space="preserve"> - </v>
      </c>
      <c r="AH17" s="301"/>
      <c r="AI17" s="230"/>
      <c r="AJ17" s="228">
        <f>IF(ISNUMBER(Datos!M17),Datos!M17," - ")</f>
        <v>25</v>
      </c>
      <c r="AK17" s="232">
        <f>IF(ISNUMBER(Datos!N17),Datos!N17," - ")</f>
        <v>65</v>
      </c>
      <c r="AL17" s="232" t="str">
        <f>IF(ISNUMBER(Datos!BW17),Datos!BW17," - ")</f>
        <v xml:space="preserve"> - </v>
      </c>
      <c r="AM17" s="231" t="str">
        <f>IF(ISNUMBER(Datos!BX17),Datos!BX17," - ")</f>
        <v xml:space="preserve"> - </v>
      </c>
      <c r="AN17" s="246"/>
      <c r="AO17" s="263">
        <f>IF(ISNUMBER(((NºAsuntos!I17/NºAsuntos!G17)*11)/factor_trimestre),((NºAsuntos!I17/NºAsuntos!G17)*11)/factor_trimestre," - ")</f>
        <v>1.4807692307692306</v>
      </c>
      <c r="AP17" s="233" t="str">
        <f>IF(ISNUMBER(Datos!CI17/Datos!CJ17),Datos!CI17/Datos!CJ17," - ")</f>
        <v xml:space="preserve"> - </v>
      </c>
      <c r="AQ17" s="233" t="str">
        <f>IF(ISNUMBER((I17-Y17+K17)/(F17)),(I17-Y17+K17)/(F17)," - ")</f>
        <v xml:space="preserve"> - </v>
      </c>
      <c r="AR17" s="233" t="str">
        <f>IF(ISNUMBER((Datos!P17-Datos!Q17+O17)/(Datos!R17-Datos!P17+Datos!Q17-O17)),(Datos!P17-Datos!Q17+O17)/(Datos!R17-Datos!P17+Datos!Q17-O17)," - ")</f>
        <v xml:space="preserve"> - </v>
      </c>
      <c r="AS17" s="269" t="str">
        <f>IF(ISNUMBER(Datos!CS17),Datos!CS17," - ")</f>
        <v xml:space="preserve"> - </v>
      </c>
      <c r="AT17" s="269" t="str">
        <f>IF(ISNUMBER(Datos!EI17),Datos!EI17," - ")</f>
        <v xml:space="preserve"> - </v>
      </c>
      <c r="AU17" s="269" t="str">
        <f>IF(ISNUMBER(Datos!EV17),Datos!EV17," - ")</f>
        <v xml:space="preserve"> - </v>
      </c>
      <c r="AV17" s="269" t="str">
        <f>IF(ISNUMBER(Datos!CW17),Datos!CW17," - ")</f>
        <v xml:space="preserve"> - </v>
      </c>
      <c r="AW17" s="269">
        <f>Datos!CX17</f>
        <v>0</v>
      </c>
      <c r="AX17" s="488">
        <f>Datos!DU17</f>
        <v>0</v>
      </c>
      <c r="AY17" s="474"/>
      <c r="BU17" s="1028">
        <f>Datos!ER17/factor_trimestre</f>
        <v>1600</v>
      </c>
    </row>
    <row r="18" spans="1:73" ht="15.75" thickTop="1" thickBot="1">
      <c r="A18" s="181"/>
      <c r="B18" s="181"/>
      <c r="C18" s="866" t="str">
        <f>Datos!A18</f>
        <v>TOTAL</v>
      </c>
      <c r="D18" s="866"/>
      <c r="E18" s="1172">
        <f>SUBTOTAL(9,E15:E17)</f>
        <v>2</v>
      </c>
      <c r="F18" s="901">
        <f>SUBTOTAL(9,F15:F17)</f>
        <v>206</v>
      </c>
      <c r="G18" s="901">
        <f>SUBTOTAL(9,G15:G17)</f>
        <v>211</v>
      </c>
      <c r="H18" s="935">
        <f>SUBTOTAL(9,H15:H17)</f>
        <v>0</v>
      </c>
      <c r="I18" s="914">
        <f>SUBTOTAL(9,I15:I17)</f>
        <v>0</v>
      </c>
      <c r="J18" s="870">
        <f>SUBTOTAL(9,J14:J17)</f>
        <v>0</v>
      </c>
      <c r="K18" s="935">
        <f t="shared" ref="K18:S18" si="4">SUBTOTAL(9,K15:K17)</f>
        <v>0</v>
      </c>
      <c r="L18" s="935">
        <f t="shared" si="4"/>
        <v>0</v>
      </c>
      <c r="M18" s="935">
        <f t="shared" si="4"/>
        <v>0</v>
      </c>
      <c r="N18" s="935">
        <f t="shared" si="4"/>
        <v>35</v>
      </c>
      <c r="O18" s="935">
        <f t="shared" si="4"/>
        <v>0</v>
      </c>
      <c r="P18" s="1125">
        <f t="shared" si="4"/>
        <v>0</v>
      </c>
      <c r="Q18" s="1125">
        <f t="shared" si="4"/>
        <v>0</v>
      </c>
      <c r="R18" s="935">
        <f t="shared" si="4"/>
        <v>0</v>
      </c>
      <c r="S18" s="1125">
        <f t="shared" si="4"/>
        <v>0</v>
      </c>
      <c r="T18" s="867">
        <f>SUBTOTAL(9,T14:T17)</f>
        <v>0</v>
      </c>
      <c r="U18" s="996" t="e">
        <f>SUBTOTAL(9,U14:U17)</f>
        <v>#VALUE!</v>
      </c>
      <c r="V18" s="936">
        <f>SUBTOTAL(9,V15:V17)</f>
        <v>0</v>
      </c>
      <c r="W18" s="935">
        <f>SUBTOTAL(9,W15:W17)</f>
        <v>0</v>
      </c>
      <c r="X18" s="932" t="str">
        <f>IF(ISNUMBER((W18*factor_trimestre)/Datos!CN18),(W18*factor_trimestre)/Datos!CN18,"-")</f>
        <v>-</v>
      </c>
      <c r="Y18" s="935">
        <f t="shared" ref="Y18:AN18" si="5">SUBTOTAL(9,Y15:Y17)</f>
        <v>986</v>
      </c>
      <c r="Z18" s="935">
        <f t="shared" si="5"/>
        <v>27</v>
      </c>
      <c r="AA18" s="935">
        <f t="shared" si="5"/>
        <v>277</v>
      </c>
      <c r="AB18" s="935">
        <f t="shared" si="5"/>
        <v>0</v>
      </c>
      <c r="AC18" s="935">
        <f t="shared" si="5"/>
        <v>0</v>
      </c>
      <c r="AD18" s="935">
        <f t="shared" si="5"/>
        <v>0</v>
      </c>
      <c r="AE18" s="935">
        <f t="shared" si="5"/>
        <v>51</v>
      </c>
      <c r="AF18" s="935">
        <f t="shared" si="5"/>
        <v>0</v>
      </c>
      <c r="AG18" s="935">
        <f t="shared" si="5"/>
        <v>0</v>
      </c>
      <c r="AH18" s="935">
        <f t="shared" si="5"/>
        <v>0</v>
      </c>
      <c r="AI18" s="935">
        <f t="shared" si="5"/>
        <v>0</v>
      </c>
      <c r="AJ18" s="935">
        <f t="shared" si="5"/>
        <v>145</v>
      </c>
      <c r="AK18" s="935">
        <f t="shared" si="5"/>
        <v>586</v>
      </c>
      <c r="AL18" s="935">
        <f t="shared" si="5"/>
        <v>0</v>
      </c>
      <c r="AM18" s="935">
        <f t="shared" si="5"/>
        <v>0</v>
      </c>
      <c r="AN18" s="935">
        <f t="shared" si="5"/>
        <v>0</v>
      </c>
      <c r="AO18" s="937">
        <f>IF(ISNUMBER(((NºAsuntos!I18/NºAsuntos!G18)*11)/factor_trimestre),((NºAsuntos!I18/NºAsuntos!G18)*11)/factor_trimestre," - ")</f>
        <v>3.0902636916835702</v>
      </c>
      <c r="AP18" s="933" t="str">
        <f>IF(ISNUMBER(Datos!CI18/Datos!CJ18),Datos!CI18/Datos!CJ18," - ")</f>
        <v xml:space="preserve"> - </v>
      </c>
      <c r="AQ18" s="938">
        <f t="shared" ref="AQ18:AV18" si="6">SUBTOTAL(9,AQ15:AQ17)</f>
        <v>0</v>
      </c>
      <c r="AR18" s="938">
        <f t="shared" si="6"/>
        <v>0</v>
      </c>
      <c r="AS18" s="933">
        <f t="shared" si="6"/>
        <v>0</v>
      </c>
      <c r="AT18" s="933">
        <f t="shared" si="6"/>
        <v>0</v>
      </c>
      <c r="AU18" s="933">
        <f t="shared" si="6"/>
        <v>0</v>
      </c>
      <c r="AV18" s="933">
        <f t="shared" si="6"/>
        <v>0</v>
      </c>
      <c r="AW18" s="933"/>
      <c r="AX18" s="933"/>
      <c r="BU18" s="909"/>
    </row>
    <row r="19" spans="1:73" ht="18.75" customHeight="1" thickTop="1" thickBot="1">
      <c r="A19" s="175"/>
      <c r="B19" s="175"/>
      <c r="C19" s="821" t="str">
        <f>Datos!A19</f>
        <v>TOTAL JURISDICCIONES</v>
      </c>
      <c r="D19" s="822"/>
      <c r="E19" s="1173">
        <f t="shared" ref="E19:O19" si="7">SUBTOTAL(9,E9:E18)</f>
        <v>4</v>
      </c>
      <c r="F19" s="823">
        <f t="shared" si="7"/>
        <v>215</v>
      </c>
      <c r="G19" s="823">
        <f t="shared" si="7"/>
        <v>220</v>
      </c>
      <c r="H19" s="824">
        <f t="shared" si="7"/>
        <v>0</v>
      </c>
      <c r="I19" s="823">
        <f t="shared" si="7"/>
        <v>0</v>
      </c>
      <c r="J19" s="825">
        <f t="shared" si="7"/>
        <v>0</v>
      </c>
      <c r="K19" s="823">
        <f t="shared" si="7"/>
        <v>0</v>
      </c>
      <c r="L19" s="826">
        <f t="shared" si="7"/>
        <v>0</v>
      </c>
      <c r="M19" s="823">
        <f t="shared" si="7"/>
        <v>0</v>
      </c>
      <c r="N19" s="824">
        <f t="shared" si="7"/>
        <v>284</v>
      </c>
      <c r="O19" s="824">
        <f t="shared" si="7"/>
        <v>0</v>
      </c>
      <c r="P19" s="1126">
        <f>IF(ISNUMBER(AVERAGE(P8:P18)),AVERAGE(P8:P18),"-")</f>
        <v>0</v>
      </c>
      <c r="Q19" s="1126">
        <f>IF(ISNUMBER(AVERAGE(Q8:Q18)),AVERAGE(Q8:Q18),"-")</f>
        <v>0</v>
      </c>
      <c r="R19" s="824">
        <f>SUBTOTAL(9,R9:R18)</f>
        <v>0</v>
      </c>
      <c r="S19" s="1126">
        <f>IF(ISNUMBER(AVERAGE(S8:S18)),AVERAGE(S8:S18),"-")</f>
        <v>0</v>
      </c>
      <c r="T19" s="883">
        <f>SUBTOTAL(9,T9:T18)</f>
        <v>0</v>
      </c>
      <c r="U19" s="997" t="e">
        <f>SUBTOTAL(9,U9:U18)</f>
        <v>#VALUE!</v>
      </c>
      <c r="V19" s="828">
        <f>SUBTOTAL(9,V9:V18)</f>
        <v>0</v>
      </c>
      <c r="W19" s="823">
        <f>SUBTOTAL(9,W9:W18)</f>
        <v>0</v>
      </c>
      <c r="X19" s="829">
        <f>IF(ISNUMBER(AVERAGE(X8:X18)),AVERAGE(X8:X18),"-")</f>
        <v>0</v>
      </c>
      <c r="Y19" s="830">
        <f t="shared" ref="Y19:AM19" si="8">SUBTOTAL(9,Y9:Y18)</f>
        <v>994</v>
      </c>
      <c r="Z19" s="830">
        <f t="shared" si="8"/>
        <v>307</v>
      </c>
      <c r="AA19" s="831">
        <f t="shared" si="8"/>
        <v>285</v>
      </c>
      <c r="AB19" s="831">
        <f t="shared" si="8"/>
        <v>0</v>
      </c>
      <c r="AC19" s="831">
        <f t="shared" si="8"/>
        <v>0</v>
      </c>
      <c r="AD19" s="832">
        <f t="shared" si="8"/>
        <v>0</v>
      </c>
      <c r="AE19" s="832">
        <f t="shared" si="8"/>
        <v>1143</v>
      </c>
      <c r="AF19" s="833">
        <f t="shared" si="8"/>
        <v>0</v>
      </c>
      <c r="AG19" s="834">
        <f t="shared" si="8"/>
        <v>0</v>
      </c>
      <c r="AH19" s="835">
        <f t="shared" si="8"/>
        <v>0</v>
      </c>
      <c r="AI19" s="833">
        <f t="shared" si="8"/>
        <v>0</v>
      </c>
      <c r="AJ19" s="823">
        <f t="shared" si="8"/>
        <v>386</v>
      </c>
      <c r="AK19" s="823">
        <f t="shared" si="8"/>
        <v>983</v>
      </c>
      <c r="AL19" s="823">
        <f t="shared" si="8"/>
        <v>0</v>
      </c>
      <c r="AM19" s="836">
        <f t="shared" si="8"/>
        <v>0</v>
      </c>
      <c r="AN19" s="826">
        <f>IF(ISNUMBER(Datos!K19/Datos!J19),Datos!K19/Datos!J19," - ")</f>
        <v>0.87800192122958698</v>
      </c>
      <c r="AO19" s="826">
        <f>IF(ISNUMBER(FIND("06",Criterios!A8,1)),(IF(ISNUMBER(((Datos!R19/Datos!Q19)*11)/factor_trimestre),((Datos!R19/Datos!Q19)*11)/factor_trimestre," - ")),(IF(ISNUMBER(((Datos!L19/Datos!K19)*11)/factor_trimestre),((Datos!L19/Datos!K19)*11)/factor_trimestre," - ")))</f>
        <v>5.8851203501094096</v>
      </c>
      <c r="AP19" s="837" t="str">
        <f>IF(ISNUMBER(Datos!CI19/Datos!CJ19),Datos!CI19/Datos!CJ19," - ")</f>
        <v xml:space="preserve"> - </v>
      </c>
      <c r="AQ19" s="837">
        <f>IF(OR(ISNUMBER(FIND("01",Criterios!A8,1)),ISNUMBER(FIND("02",Criterios!A8,1)),ISNUMBER(FIND("03",Criterios!A8,1)),ISNUMBER(FIND("04",Criterios!A8,1))),(J19-Y19+K19)/(F19-K19),(I19-Y19+K19)/(F19-K19))</f>
        <v>-4.6232558139534881</v>
      </c>
      <c r="AR19" s="837">
        <f>IF(ISNUMBER((Datos!P19-Datos!Q19+O19)/(Datos!R19-Datos!P19+Datos!Q19-O19)),(Datos!P19-Datos!Q19+O19)/(Datos!R19-Datos!P19+Datos!Q19-O19)," - ")</f>
        <v>-1.9725557461406518E-2</v>
      </c>
      <c r="AS19" s="838">
        <f>SUBTOTAL(9,AS9:AS18)</f>
        <v>0</v>
      </c>
      <c r="AT19" s="838">
        <f>SUBTOTAL(9,AT9:AT18)</f>
        <v>0</v>
      </c>
      <c r="AU19" s="838">
        <f>SUBTOTAL(9,AU9:AU18)</f>
        <v>0</v>
      </c>
      <c r="AV19" s="838">
        <f>SUBTOTAL(9,AV9:AV18)</f>
        <v>0</v>
      </c>
      <c r="AW19" s="839"/>
      <c r="AX19" s="840"/>
      <c r="BU19" s="922"/>
    </row>
    <row r="20" spans="1:73" ht="18.75" customHeight="1" thickTop="1" thickBot="1">
      <c r="A20" s="170"/>
      <c r="B20" s="170">
        <f>'Indicadores CA'!B20</f>
        <v>0</v>
      </c>
      <c r="C20" s="841" t="s">
        <v>264</v>
      </c>
      <c r="D20" s="842"/>
      <c r="E20" s="1174">
        <f ca="1">IF(ISNUMBER(SUMIF($B8:$B18,$B20,E8:E18)/INDIRECT("Datos!AP"&amp;ROW()-1)),SUMIF($B8:$B18,$B20,E8:E18)/INDIRECT("Datos!AP"&amp;ROW()-1),"-")</f>
        <v>0</v>
      </c>
      <c r="F20" s="816">
        <f ca="1">IF(ISNUMBER(SUMIF($B8:$B18,$B20,F8:F18)/INDIRECT("Datos!AP"&amp;ROW()-1)),SUMIF($B8:$B18,$B20,F8:F18)/INDIRECT("Datos!AP"&amp;ROW()-1),"-")</f>
        <v>0</v>
      </c>
      <c r="G20" s="816">
        <f>IF(ISNUMBER(AVERAGE(G8:G18)),AVERAGE(G8:G18),"-")</f>
        <v>88</v>
      </c>
      <c r="H20" s="816">
        <f t="shared" ref="H20:AO20" ca="1" si="9">IF(ISNUMBER(SUMIF($B8:$B18,$B20,H8:H18)/INDIRECT("Datos!AP"&amp;ROW()-1)),SUMIF($B8:$B18,$B20,H8:H18)/INDIRECT("Datos!AP"&amp;ROW()-1),"-")</f>
        <v>0</v>
      </c>
      <c r="I20" s="816">
        <f t="shared" ca="1" si="9"/>
        <v>0</v>
      </c>
      <c r="J20" s="818">
        <f t="shared" ca="1" si="9"/>
        <v>0</v>
      </c>
      <c r="K20" s="816">
        <f t="shared" ca="1" si="9"/>
        <v>0</v>
      </c>
      <c r="L20" s="816">
        <f t="shared" ca="1" si="9"/>
        <v>0</v>
      </c>
      <c r="M20" s="816">
        <f t="shared" ca="1" si="9"/>
        <v>0</v>
      </c>
      <c r="N20" s="816">
        <f t="shared" ca="1" si="9"/>
        <v>0</v>
      </c>
      <c r="O20" s="816">
        <f t="shared" ca="1" si="9"/>
        <v>0</v>
      </c>
      <c r="P20" s="1127">
        <f t="shared" ca="1" si="9"/>
        <v>0</v>
      </c>
      <c r="Q20" s="1127">
        <f t="shared" ca="1" si="9"/>
        <v>0</v>
      </c>
      <c r="R20" s="816">
        <f t="shared" ca="1" si="9"/>
        <v>0</v>
      </c>
      <c r="S20" s="1127">
        <f t="shared" ca="1" si="9"/>
        <v>0</v>
      </c>
      <c r="T20" s="818">
        <f t="shared" ca="1" si="9"/>
        <v>0</v>
      </c>
      <c r="U20" s="998">
        <f t="shared" ca="1" si="9"/>
        <v>0</v>
      </c>
      <c r="V20" s="843">
        <f t="shared" ca="1" si="9"/>
        <v>0</v>
      </c>
      <c r="W20" s="816">
        <f t="shared" ca="1" si="9"/>
        <v>0</v>
      </c>
      <c r="X20" s="844">
        <f t="shared" ca="1" si="9"/>
        <v>0</v>
      </c>
      <c r="Y20" s="817">
        <f t="shared" ca="1" si="9"/>
        <v>0</v>
      </c>
      <c r="Z20" s="817">
        <f t="shared" ca="1" si="9"/>
        <v>0</v>
      </c>
      <c r="AA20" s="817">
        <f t="shared" ca="1" si="9"/>
        <v>0</v>
      </c>
      <c r="AB20" s="817">
        <f t="shared" ca="1" si="9"/>
        <v>0</v>
      </c>
      <c r="AC20" s="817">
        <f t="shared" ca="1" si="9"/>
        <v>0</v>
      </c>
      <c r="AD20" s="845">
        <f t="shared" ca="1" si="9"/>
        <v>0</v>
      </c>
      <c r="AE20" s="845">
        <f t="shared" ca="1" si="9"/>
        <v>0</v>
      </c>
      <c r="AF20" s="818">
        <f t="shared" ca="1" si="9"/>
        <v>0</v>
      </c>
      <c r="AG20" s="846">
        <f t="shared" ca="1" si="9"/>
        <v>0</v>
      </c>
      <c r="AH20" s="845">
        <f t="shared" ca="1" si="9"/>
        <v>0</v>
      </c>
      <c r="AI20" s="818">
        <f t="shared" ca="1" si="9"/>
        <v>0</v>
      </c>
      <c r="AJ20" s="816">
        <f t="shared" ca="1" si="9"/>
        <v>0</v>
      </c>
      <c r="AK20" s="816">
        <f t="shared" ca="1" si="9"/>
        <v>0</v>
      </c>
      <c r="AL20" s="816">
        <f t="shared" ca="1" si="9"/>
        <v>0</v>
      </c>
      <c r="AM20" s="818">
        <f t="shared" ca="1" si="9"/>
        <v>0</v>
      </c>
      <c r="AN20" s="816">
        <f t="shared" ca="1" si="9"/>
        <v>0</v>
      </c>
      <c r="AO20" s="816">
        <f t="shared" ca="1" si="9"/>
        <v>0</v>
      </c>
      <c r="AP20" s="837" t="e">
        <f ca="1">INDIRECT("Datos!CI"&amp;ROW()-1)/INDIRECT("Datos!CJ"&amp;ROW()-1)</f>
        <v>#DIV/0!</v>
      </c>
      <c r="AQ20" s="837" t="e">
        <f ca="1">IF(OR(ISNUMBER(FIND("01",Criterios!A8,1)),ISNUMBER(FIND("02",Criterios!A8,1)),ISNUMBER(FIND("03",Criterios!A8,1)),ISNUMBER(FIND("04",Criterios!A8,1))),(J20-Y20+K20)/(F20-K20),(I20-Y20+K20)/(F20-K20))</f>
        <v>#DIV/0!</v>
      </c>
      <c r="AR20" s="847">
        <f t="shared" ref="AR20:AW20" ca="1" si="10">IF(ISNUMBER(SUMIF($B8:$B18,$B20,AR8:AR18)/INDIRECT("Datos!AP"&amp;ROW()-1)),SUMIF($B8:$B18,$B20,AR8:AR18)/INDIRECT("Datos!AP"&amp;ROW()-1),"-")</f>
        <v>0</v>
      </c>
      <c r="AS20" s="848">
        <f t="shared" ca="1" si="10"/>
        <v>0</v>
      </c>
      <c r="AT20" s="848">
        <f t="shared" ca="1" si="10"/>
        <v>0</v>
      </c>
      <c r="AU20" s="848">
        <f t="shared" ca="1" si="10"/>
        <v>0</v>
      </c>
      <c r="AV20" s="848">
        <f t="shared" ca="1" si="10"/>
        <v>0</v>
      </c>
      <c r="AW20" s="848">
        <f t="shared" ca="1" si="10"/>
        <v>0</v>
      </c>
      <c r="AX20" s="848"/>
      <c r="BU20" s="930"/>
    </row>
    <row r="21" spans="1:73" ht="18.75" hidden="1" customHeight="1" thickTop="1" thickBot="1">
      <c r="A21" s="171"/>
      <c r="B21" s="171"/>
      <c r="C21" s="533" t="s">
        <v>265</v>
      </c>
      <c r="D21" s="344"/>
      <c r="E21" s="583"/>
      <c r="F21" s="255">
        <f>IF(ISNUMBER(STDEV(F8:F18)),STDEV(F8:F18),"-")</f>
        <v>113.73800303035628</v>
      </c>
      <c r="G21" s="555">
        <f>IF(ISNUMBER(STDEV(G8:G18)),STDEV(G8:G18),"-")</f>
        <v>107.77754868245984</v>
      </c>
      <c r="H21" s="258"/>
      <c r="I21" s="255">
        <f>IF(ISNUMBER(STDEV(I8:I18)),STDEV(I8:I18),"-")</f>
        <v>0</v>
      </c>
      <c r="J21" s="257">
        <f>IF(ISNUMBER(STDEV(J8:J18)),STDEV(J8:J18),"-")</f>
        <v>0</v>
      </c>
      <c r="K21" s="608"/>
      <c r="L21" s="608"/>
      <c r="M21" s="608"/>
      <c r="N21" s="258"/>
      <c r="O21" s="258"/>
      <c r="P21" s="1128"/>
      <c r="Q21" s="1128"/>
      <c r="R21" s="258"/>
      <c r="S21" s="1130"/>
      <c r="T21" s="304"/>
      <c r="U21" s="999"/>
      <c r="V21" s="608"/>
      <c r="W21" s="255">
        <f>IF(ISNUMBER(STDEV(W8:W18)),STDEV(W8:W18),"-")</f>
        <v>0</v>
      </c>
      <c r="X21" s="316">
        <f>IF(ISNUMBER(STDEV(X8:X18)),STDEV(X8:X18),"-")</f>
        <v>0</v>
      </c>
      <c r="Y21" s="285"/>
      <c r="Z21" s="285"/>
      <c r="AA21" s="285"/>
      <c r="AB21" s="285"/>
      <c r="AC21" s="285"/>
      <c r="AD21" s="285"/>
      <c r="AE21" s="285"/>
      <c r="AF21" s="257">
        <f>IF(ISNUMBER(STDEV(AF8:AF18)),STDEV(AF8:AF18),"-")</f>
        <v>0</v>
      </c>
      <c r="AG21" s="258">
        <f>IF(ISNUMBER(STDEV(AG8:AG18)),STDEV(AG8:AG18),"-")</f>
        <v>0</v>
      </c>
      <c r="AH21" s="285">
        <f>IF(ISNUMBER(STDEV(AH8:AH18)),STDEV(AH8:AH18),"-")</f>
        <v>0</v>
      </c>
      <c r="AI21" s="300"/>
      <c r="AJ21" s="255">
        <f>IF(ISNUMBER(STDEV(AJ8:AJ18)),STDEV(AJ8:AJ18),"-")</f>
        <v>100.98052617542982</v>
      </c>
      <c r="AK21" s="255"/>
      <c r="AL21" s="255">
        <f>IF(ISNUMBER(STDEV(AL8:AL18)),STDEV(AL8:AL18),"-")</f>
        <v>0</v>
      </c>
      <c r="AM21" s="257">
        <f>IF(ISNUMBER(STDEV(AM8:AM18)),STDEV(AM8:AM18),"-")</f>
        <v>0</v>
      </c>
      <c r="AN21" s="542">
        <f>IF(ISNUMBER(STDEV(AN8:AN18)),STDEV(AN8:AN18),"-")</f>
        <v>0</v>
      </c>
      <c r="AO21" s="543">
        <f>IF(ISNUMBER(STDEV(AO8:AO18)),STDEV(AO8:AO18),"-")</f>
        <v>3.9294449230050601</v>
      </c>
      <c r="AP21" s="544" t="str">
        <f>IF(ISNUMBER(STDEV(AP8:AP18)),STDEV(AP8:AP18),"-")</f>
        <v>-</v>
      </c>
      <c r="AQ21" s="300"/>
      <c r="AR21" s="300"/>
      <c r="AS21" s="300"/>
      <c r="AT21" s="300"/>
      <c r="AU21" s="300"/>
      <c r="AV21" s="300"/>
      <c r="AW21" s="304">
        <f>IF(ISNUMBER(STDEV(AW8:AW18)),STDEV(AW8:AW18),"-")</f>
        <v>0</v>
      </c>
      <c r="AX21" s="545">
        <f>IF(ISNUMBER(STDEV(AX8:AX18)),STDEV(AX8:AX18),"-")</f>
        <v>0</v>
      </c>
      <c r="BU21" s="566">
        <f>IF(ISNUMBER(STDEV(BU8:BU18)),STDEV(BU8:BU18),"-")</f>
        <v>846.34921870348535</v>
      </c>
    </row>
    <row r="22" spans="1:73" ht="12" customHeight="1" thickTop="1" thickBot="1">
      <c r="C22" s="534"/>
      <c r="D22" s="73"/>
      <c r="E22" s="73"/>
      <c r="F22" s="546"/>
      <c r="G22" s="567"/>
      <c r="H22" s="546"/>
      <c r="I22" s="546"/>
      <c r="K22" s="609"/>
      <c r="L22" s="609"/>
      <c r="M22" s="609"/>
      <c r="N22" s="546"/>
      <c r="O22" s="546"/>
      <c r="P22" s="1129"/>
      <c r="Q22" s="1129"/>
      <c r="R22" s="593"/>
      <c r="S22" s="1129"/>
      <c r="T22" s="95"/>
      <c r="U22" s="626"/>
      <c r="V22" s="609"/>
      <c r="W22" s="546"/>
      <c r="X22" s="547"/>
      <c r="Y22" s="593"/>
      <c r="Z22" s="593"/>
      <c r="AA22" s="546"/>
      <c r="AB22" s="546"/>
      <c r="AC22" s="546"/>
      <c r="AD22" s="546"/>
      <c r="AE22" s="546"/>
      <c r="AF22" s="546"/>
      <c r="AG22" s="546"/>
      <c r="AH22" s="546"/>
      <c r="AI22" s="546"/>
      <c r="AJ22" s="546"/>
      <c r="AK22" s="546"/>
      <c r="AL22" s="546"/>
      <c r="AM22" s="546"/>
      <c r="AN22" s="546"/>
      <c r="AO22" s="546"/>
      <c r="AP22" s="547"/>
      <c r="AQ22" s="593"/>
      <c r="AR22" s="593"/>
      <c r="AS22" s="593"/>
      <c r="AT22" s="593"/>
      <c r="AU22" s="593"/>
      <c r="AV22" s="593"/>
      <c r="AW22" s="548"/>
      <c r="AX22" s="546"/>
      <c r="BU22" s="567"/>
    </row>
    <row r="23" spans="1:73" ht="15" thickBot="1">
      <c r="C23" s="489"/>
      <c r="D23" s="541"/>
      <c r="E23" s="541"/>
      <c r="F23" s="549"/>
      <c r="G23" s="549"/>
      <c r="H23" s="549"/>
      <c r="I23" s="549"/>
      <c r="J23" s="549"/>
      <c r="K23" s="610"/>
      <c r="L23" s="610"/>
      <c r="M23" s="610"/>
      <c r="N23" s="549"/>
      <c r="O23" s="549"/>
      <c r="P23" s="551"/>
      <c r="Q23" s="551"/>
      <c r="R23" s="594"/>
      <c r="S23" s="1131"/>
      <c r="T23" s="1027"/>
      <c r="U23" s="550"/>
      <c r="V23" s="1026"/>
      <c r="W23" s="549"/>
      <c r="X23" s="551"/>
      <c r="Y23" s="594"/>
      <c r="Z23" s="594"/>
      <c r="AA23" s="549"/>
      <c r="AB23" s="549"/>
      <c r="AC23" s="549"/>
      <c r="AD23" s="549"/>
      <c r="AE23" s="549"/>
      <c r="AF23" s="552"/>
      <c r="AG23" s="549"/>
      <c r="AH23" s="549"/>
      <c r="AI23" s="549"/>
      <c r="AJ23" s="549"/>
      <c r="AK23" s="549"/>
      <c r="AL23" s="549"/>
      <c r="AM23" s="549"/>
      <c r="AN23" s="549"/>
      <c r="AO23" s="549"/>
      <c r="AP23" s="550"/>
      <c r="AQ23" s="594"/>
      <c r="AR23" s="594"/>
      <c r="AS23" s="594"/>
      <c r="AT23" s="594"/>
      <c r="AU23" s="594"/>
      <c r="AV23" s="594"/>
      <c r="AW23" s="553"/>
      <c r="AX23" s="553"/>
      <c r="BU23" s="574"/>
    </row>
    <row r="24" spans="1:73" ht="15" thickBot="1">
      <c r="C24" s="489"/>
      <c r="D24" s="541"/>
      <c r="E24" s="541"/>
      <c r="F24" s="549"/>
      <c r="G24" s="549"/>
      <c r="H24" s="549"/>
      <c r="I24" s="549"/>
      <c r="J24" s="549"/>
      <c r="K24" s="610"/>
      <c r="L24" s="610"/>
      <c r="M24" s="610"/>
      <c r="N24" s="549"/>
      <c r="O24" s="549"/>
      <c r="P24" s="551"/>
      <c r="Q24" s="551"/>
      <c r="R24" s="594"/>
      <c r="S24" s="1131"/>
      <c r="T24" s="549"/>
      <c r="U24" s="550"/>
      <c r="V24" s="1026"/>
      <c r="W24" s="549"/>
      <c r="X24" s="551"/>
      <c r="Y24" s="594"/>
      <c r="Z24" s="594"/>
      <c r="AA24" s="549"/>
      <c r="AB24" s="549"/>
      <c r="AC24" s="549"/>
      <c r="AD24" s="549"/>
      <c r="AE24" s="549"/>
      <c r="AF24" s="552"/>
      <c r="AG24" s="549"/>
      <c r="AH24" s="549"/>
      <c r="AI24" s="549"/>
      <c r="AJ24" s="549"/>
      <c r="AK24" s="549"/>
      <c r="AL24" s="549"/>
      <c r="AM24" s="549"/>
      <c r="AN24" s="549"/>
      <c r="AO24" s="549"/>
      <c r="AP24" s="550"/>
      <c r="AQ24" s="594"/>
      <c r="AR24" s="594"/>
      <c r="AS24" s="594"/>
      <c r="AT24" s="594"/>
      <c r="AU24" s="594"/>
      <c r="AV24" s="594"/>
      <c r="AW24" s="553"/>
      <c r="AX24" s="553"/>
      <c r="BU24" s="574"/>
    </row>
    <row r="25" spans="1:73" ht="12.75" hidden="1" customHeight="1">
      <c r="C25" s="297" t="s">
        <v>262</v>
      </c>
      <c r="D25" s="524"/>
      <c r="E25" s="584">
        <f t="shared" ref="E25:O25" si="11">E23+2*E24</f>
        <v>0</v>
      </c>
      <c r="F25" s="512">
        <f t="shared" si="11"/>
        <v>0</v>
      </c>
      <c r="G25" s="506">
        <f t="shared" si="11"/>
        <v>0</v>
      </c>
      <c r="H25" s="526">
        <f t="shared" si="11"/>
        <v>0</v>
      </c>
      <c r="I25" s="526">
        <f t="shared" si="11"/>
        <v>0</v>
      </c>
      <c r="J25" s="145">
        <f t="shared" si="11"/>
        <v>0</v>
      </c>
      <c r="K25" s="526">
        <f t="shared" si="11"/>
        <v>0</v>
      </c>
      <c r="L25" s="526">
        <f t="shared" si="11"/>
        <v>0</v>
      </c>
      <c r="M25" s="526">
        <f t="shared" si="11"/>
        <v>0</v>
      </c>
      <c r="N25" s="526">
        <f t="shared" si="11"/>
        <v>0</v>
      </c>
      <c r="O25" s="526">
        <f t="shared" si="11"/>
        <v>0</v>
      </c>
      <c r="P25" s="527">
        <f t="shared" ref="P25:Z25" si="12">P23+2*P24</f>
        <v>0</v>
      </c>
      <c r="Q25" s="527">
        <f t="shared" si="12"/>
        <v>0</v>
      </c>
      <c r="R25" s="526">
        <f t="shared" si="12"/>
        <v>0</v>
      </c>
      <c r="S25" s="617">
        <f t="shared" si="12"/>
        <v>0</v>
      </c>
      <c r="T25" s="620">
        <f t="shared" si="12"/>
        <v>0</v>
      </c>
      <c r="U25" s="617">
        <f t="shared" si="12"/>
        <v>0</v>
      </c>
      <c r="V25" s="620">
        <f>V23+2*V24</f>
        <v>0</v>
      </c>
      <c r="W25" s="526">
        <f t="shared" si="12"/>
        <v>0</v>
      </c>
      <c r="X25" s="527">
        <f t="shared" si="12"/>
        <v>0</v>
      </c>
      <c r="Y25" s="587">
        <f t="shared" si="12"/>
        <v>0</v>
      </c>
      <c r="Z25" s="587">
        <f t="shared" si="12"/>
        <v>0</v>
      </c>
      <c r="AA25" s="526">
        <f t="shared" ref="AA25:AR25" si="13">AA23+2*AA24</f>
        <v>0</v>
      </c>
      <c r="AB25" s="526">
        <f t="shared" si="13"/>
        <v>0</v>
      </c>
      <c r="AC25" s="526">
        <f t="shared" si="13"/>
        <v>0</v>
      </c>
      <c r="AD25" s="526">
        <f t="shared" si="13"/>
        <v>0</v>
      </c>
      <c r="AE25" s="526">
        <f t="shared" si="13"/>
        <v>0</v>
      </c>
      <c r="AF25" s="526">
        <f t="shared" si="13"/>
        <v>0</v>
      </c>
      <c r="AG25" s="526">
        <f t="shared" si="13"/>
        <v>0</v>
      </c>
      <c r="AH25" s="526">
        <f t="shared" si="13"/>
        <v>0</v>
      </c>
      <c r="AI25" s="526">
        <f t="shared" si="13"/>
        <v>0</v>
      </c>
      <c r="AJ25" s="526">
        <f t="shared" si="13"/>
        <v>0</v>
      </c>
      <c r="AK25" s="526">
        <f t="shared" si="13"/>
        <v>0</v>
      </c>
      <c r="AL25" s="526">
        <f t="shared" si="13"/>
        <v>0</v>
      </c>
      <c r="AM25" s="526">
        <f t="shared" si="13"/>
        <v>0</v>
      </c>
      <c r="AN25" s="535">
        <f t="shared" si="13"/>
        <v>0</v>
      </c>
      <c r="AO25" s="535">
        <f t="shared" si="13"/>
        <v>0</v>
      </c>
      <c r="AP25" s="527">
        <f t="shared" si="13"/>
        <v>0</v>
      </c>
      <c r="AQ25" s="527">
        <f t="shared" si="13"/>
        <v>0</v>
      </c>
      <c r="AR25" s="527">
        <f t="shared" si="13"/>
        <v>0</v>
      </c>
      <c r="AS25" s="587">
        <f>AS23+2*AS24</f>
        <v>0</v>
      </c>
      <c r="AT25" s="587">
        <f>AT23+2*AT24</f>
        <v>0</v>
      </c>
      <c r="AU25" s="587">
        <f>AU23+2*AU24</f>
        <v>0</v>
      </c>
      <c r="AV25" s="587">
        <f>AV23+2*AV24</f>
        <v>0</v>
      </c>
      <c r="AW25" s="526">
        <f>(AW23-ultimoDiaTrim)+2*AW24</f>
        <v>0</v>
      </c>
      <c r="AX25" s="536"/>
      <c r="BU25" s="529"/>
    </row>
    <row r="26" spans="1:73" ht="12.75" hidden="1" customHeight="1">
      <c r="C26" s="297" t="s">
        <v>263</v>
      </c>
      <c r="D26" s="524"/>
      <c r="E26" s="507">
        <f>MIN(0,F23-2*F24)</f>
        <v>0</v>
      </c>
      <c r="F26" s="509">
        <f>MIN(0,I23-2*I24)</f>
        <v>0</v>
      </c>
      <c r="G26" s="506">
        <f>MIN(0,G23-2*G24)</f>
        <v>0</v>
      </c>
      <c r="H26" s="506">
        <f>MIN(0,H23-2*H24)</f>
        <v>0</v>
      </c>
      <c r="I26" s="506">
        <f>MIN(0,I23-2*I24)</f>
        <v>0</v>
      </c>
      <c r="J26" s="146">
        <f>MIN(0,J23-2*J24)</f>
        <v>0</v>
      </c>
      <c r="K26" s="506">
        <f t="shared" ref="K26:U26" si="14">MIN(0,K23-2*K24)</f>
        <v>0</v>
      </c>
      <c r="L26" s="506">
        <f t="shared" si="14"/>
        <v>0</v>
      </c>
      <c r="M26" s="506">
        <f t="shared" si="14"/>
        <v>0</v>
      </c>
      <c r="N26" s="506">
        <f t="shared" si="14"/>
        <v>0</v>
      </c>
      <c r="O26" s="506">
        <f t="shared" si="14"/>
        <v>0</v>
      </c>
      <c r="P26" s="528">
        <f t="shared" si="14"/>
        <v>0</v>
      </c>
      <c r="Q26" s="528">
        <f t="shared" si="14"/>
        <v>0</v>
      </c>
      <c r="R26" s="506">
        <f t="shared" si="14"/>
        <v>0</v>
      </c>
      <c r="S26" s="618">
        <f t="shared" si="14"/>
        <v>0</v>
      </c>
      <c r="T26" s="508">
        <f t="shared" si="14"/>
        <v>0</v>
      </c>
      <c r="U26" s="618">
        <f t="shared" si="14"/>
        <v>0</v>
      </c>
      <c r="V26" s="508">
        <f>MIN(0,V23-2*V24)</f>
        <v>0</v>
      </c>
      <c r="W26" s="506">
        <f>MIN(0,W23-2*W24)</f>
        <v>0</v>
      </c>
      <c r="X26" s="528">
        <f>MIN(0,X23-2*X24)</f>
        <v>0</v>
      </c>
      <c r="Y26" s="580">
        <f>MIN(0,Y23-2*Y24)</f>
        <v>0</v>
      </c>
      <c r="Z26" s="580">
        <f>MIN(0,Z23-2*Z24)</f>
        <v>0</v>
      </c>
      <c r="AA26" s="506">
        <f t="shared" ref="AA26:AH26" si="15">MIN(0,AA23-2*AA24)</f>
        <v>0</v>
      </c>
      <c r="AB26" s="506">
        <f t="shared" si="15"/>
        <v>0</v>
      </c>
      <c r="AC26" s="506">
        <f t="shared" si="15"/>
        <v>0</v>
      </c>
      <c r="AD26" s="506">
        <f t="shared" si="15"/>
        <v>0</v>
      </c>
      <c r="AE26" s="506">
        <f t="shared" si="15"/>
        <v>0</v>
      </c>
      <c r="AF26" s="506">
        <f t="shared" si="15"/>
        <v>0</v>
      </c>
      <c r="AG26" s="506">
        <f t="shared" si="15"/>
        <v>0</v>
      </c>
      <c r="AH26" s="506">
        <f t="shared" si="15"/>
        <v>0</v>
      </c>
      <c r="AI26" s="506">
        <f>MIN(0,AI23-2*AI24)</f>
        <v>0</v>
      </c>
      <c r="AJ26" s="506">
        <f t="shared" ref="AJ26:AR26" si="16">MIN(0,AJ23-2*AJ24)</f>
        <v>0</v>
      </c>
      <c r="AK26" s="506">
        <f t="shared" si="16"/>
        <v>0</v>
      </c>
      <c r="AL26" s="506">
        <f t="shared" si="16"/>
        <v>0</v>
      </c>
      <c r="AM26" s="506">
        <f t="shared" si="16"/>
        <v>0</v>
      </c>
      <c r="AN26" s="523">
        <f t="shared" si="16"/>
        <v>0</v>
      </c>
      <c r="AO26" s="523">
        <f t="shared" si="16"/>
        <v>0</v>
      </c>
      <c r="AP26" s="528">
        <f t="shared" si="16"/>
        <v>0</v>
      </c>
      <c r="AQ26" s="528">
        <f t="shared" si="16"/>
        <v>0</v>
      </c>
      <c r="AR26" s="528">
        <f t="shared" si="16"/>
        <v>0</v>
      </c>
      <c r="AS26" s="580">
        <f>MIN(0,AS23-2*AS24)</f>
        <v>0</v>
      </c>
      <c r="AT26" s="580">
        <f>MIN(0,AT23-2*AT24)</f>
        <v>0</v>
      </c>
      <c r="AU26" s="580">
        <f>MIN(0,AU23-2*AU24)</f>
        <v>0</v>
      </c>
      <c r="AV26" s="580">
        <f>MIN(0,AV23-2*AV24)</f>
        <v>0</v>
      </c>
      <c r="AW26" s="506">
        <f>MIN(0,(AW23-ultimoDiaTrim)-2*AW24)</f>
        <v>0</v>
      </c>
      <c r="AX26" s="529"/>
      <c r="BU26" s="529"/>
    </row>
    <row r="27" spans="1:73">
      <c r="C27" s="537"/>
      <c r="D27" s="71"/>
      <c r="E27" s="71"/>
    </row>
    <row r="30" spans="1:73">
      <c r="C30" s="538" t="str">
        <f>Criterios!A4</f>
        <v>Fecha Informe: 03 may. 2024</v>
      </c>
    </row>
    <row r="32" spans="1:73" ht="13.5" thickBot="1">
      <c r="C32" s="539"/>
      <c r="D32" s="530"/>
      <c r="E32" s="530"/>
    </row>
    <row r="33" spans="12:12" ht="15" thickBot="1">
      <c r="L33" s="549"/>
    </row>
  </sheetData>
  <sheetProtection algorithmName="SHA-512" hashValue="sy91VYAMFbAnizpf9YbJ5Y4hkBSDDaBZoVaYwXFhE1EVhQtQTWoqJQnMmTBbGDGmYupof+Zn1vX9eGMiok7JnQ==" saltValue="r//uqRt7MESoc4yWoCs05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6"/>
      <c r="I1" s="626"/>
      <c r="J1" s="626"/>
    </row>
    <row r="2" spans="1:18">
      <c r="A2" s="471"/>
      <c r="B2" s="471"/>
      <c r="C2" s="378"/>
      <c r="D2" s="378"/>
      <c r="E2" s="378"/>
      <c r="F2" s="378"/>
      <c r="G2" s="378"/>
      <c r="H2" s="627"/>
      <c r="I2" s="627"/>
      <c r="J2" s="627"/>
      <c r="K2" s="375"/>
      <c r="L2" s="375"/>
      <c r="M2" s="375"/>
      <c r="N2" s="375"/>
      <c r="O2" s="375"/>
      <c r="P2" s="375"/>
      <c r="Q2" s="375"/>
    </row>
    <row r="3" spans="1:18" s="632" customFormat="1" ht="18.75" thickBot="1">
      <c r="A3" s="628"/>
      <c r="B3" s="628"/>
      <c r="C3" s="629" t="s">
        <v>628</v>
      </c>
      <c r="D3" s="629"/>
      <c r="E3" s="629"/>
      <c r="F3" s="629"/>
      <c r="G3" s="629" t="str">
        <f xml:space="preserve"> "Año: " &amp; Año &amp; "  Trimestres " &amp; TrimIni &amp; " al " &amp; TrimFin</f>
        <v>Año: 2023  Trimestres 1 al 4</v>
      </c>
      <c r="H3" s="630"/>
      <c r="I3" s="630"/>
      <c r="J3" s="630"/>
      <c r="K3" s="631"/>
      <c r="L3" s="631"/>
      <c r="M3" s="631"/>
      <c r="N3" s="631"/>
      <c r="O3" s="631"/>
      <c r="P3" s="631"/>
      <c r="Q3" s="631"/>
    </row>
    <row r="4" spans="1:18" ht="42" customHeight="1" thickBot="1">
      <c r="A4" s="1531" t="s">
        <v>629</v>
      </c>
      <c r="B4" s="1531" t="s">
        <v>733</v>
      </c>
      <c r="C4" s="1531" t="s">
        <v>630</v>
      </c>
      <c r="D4" s="1531" t="s">
        <v>691</v>
      </c>
      <c r="E4" s="1533" t="s">
        <v>692</v>
      </c>
      <c r="F4" s="1531" t="s">
        <v>631</v>
      </c>
      <c r="G4" s="1533" t="s">
        <v>452</v>
      </c>
      <c r="H4" s="1526" t="s">
        <v>632</v>
      </c>
      <c r="I4" s="1526" t="s">
        <v>633</v>
      </c>
      <c r="J4" s="1526" t="s">
        <v>634</v>
      </c>
      <c r="K4" s="1528" t="s">
        <v>272</v>
      </c>
      <c r="L4" s="1529"/>
      <c r="M4" s="1529"/>
      <c r="N4" s="1530"/>
      <c r="O4" s="1528" t="s">
        <v>447</v>
      </c>
      <c r="P4" s="1529"/>
      <c r="Q4" s="1529"/>
      <c r="R4" s="1530"/>
    </row>
    <row r="5" spans="1:18" ht="27.75" customHeight="1" thickBot="1">
      <c r="A5" s="1532"/>
      <c r="B5" s="1532"/>
      <c r="C5" s="1532"/>
      <c r="D5" s="1532"/>
      <c r="E5" s="1532"/>
      <c r="F5" s="1532"/>
      <c r="G5" s="1532"/>
      <c r="H5" s="1527"/>
      <c r="I5" s="1527"/>
      <c r="J5" s="1527"/>
      <c r="K5" s="849" t="s">
        <v>448</v>
      </c>
      <c r="L5" s="849" t="s">
        <v>449</v>
      </c>
      <c r="M5" s="849" t="s">
        <v>450</v>
      </c>
      <c r="N5" s="849" t="s">
        <v>451</v>
      </c>
      <c r="O5" s="850" t="s">
        <v>448</v>
      </c>
      <c r="P5" s="849" t="s">
        <v>449</v>
      </c>
      <c r="Q5" s="849" t="s">
        <v>450</v>
      </c>
      <c r="R5" s="849" t="s">
        <v>451</v>
      </c>
    </row>
  </sheetData>
  <sheetProtection algorithmName="SHA-512" hashValue="MmG274X8XgGYqJtjnYbdZluL7L0jWoLa4/8hixTnsQH0vmsmAKywfnj8tMtDGaLE3BS6ktTc2Ta9U5GOq952Pw==" saltValue="WKo88uEPqgObqjkd9gqJg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85" t="s">
        <v>273</v>
      </c>
      <c r="CF4" s="1386"/>
      <c r="CG4" s="1386"/>
      <c r="CH4" s="1387"/>
    </row>
    <row r="5" spans="1:155" ht="12.75" customHeight="1" thickBot="1">
      <c r="A5" s="1415" t="str">
        <f>"Año:  " &amp;Criterios!B5 &amp; "                  Trimestre   " &amp;Criterios!D5 &amp; " al " &amp;Criterios!D6</f>
        <v>Año:  2023                  Trimestre   1 al 4</v>
      </c>
      <c r="B5" s="1417" t="s">
        <v>399</v>
      </c>
      <c r="C5" s="1420" t="s">
        <v>33</v>
      </c>
      <c r="D5" s="1426" t="s">
        <v>24</v>
      </c>
      <c r="E5" s="1427"/>
      <c r="F5" s="1427"/>
      <c r="G5" s="1427"/>
      <c r="H5" s="1428"/>
      <c r="I5" s="1432" t="s">
        <v>52</v>
      </c>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c r="AL5" s="1433"/>
      <c r="AM5" s="1433"/>
      <c r="AN5" s="1433"/>
      <c r="AO5" s="1391" t="s">
        <v>131</v>
      </c>
      <c r="AP5" s="1391" t="s">
        <v>132</v>
      </c>
      <c r="AQ5" s="1391" t="s">
        <v>89</v>
      </c>
      <c r="AR5" s="1391" t="s">
        <v>133</v>
      </c>
      <c r="AS5" s="1403" t="s">
        <v>154</v>
      </c>
      <c r="AT5" s="1403" t="s">
        <v>155</v>
      </c>
      <c r="AU5" s="1403" t="s">
        <v>238</v>
      </c>
      <c r="AV5" s="1403" t="s">
        <v>236</v>
      </c>
      <c r="AW5" s="1403" t="s">
        <v>239</v>
      </c>
      <c r="AX5" s="1403" t="s">
        <v>237</v>
      </c>
      <c r="AY5" s="1397" t="s">
        <v>108</v>
      </c>
      <c r="AZ5" s="1451"/>
      <c r="BA5" s="1451"/>
      <c r="BB5" s="1451"/>
      <c r="BC5" s="1452"/>
      <c r="BD5" s="1397" t="s">
        <v>109</v>
      </c>
      <c r="BE5" s="1398"/>
      <c r="BF5" s="1398"/>
      <c r="BG5" s="1399"/>
      <c r="BH5" s="1391" t="s">
        <v>147</v>
      </c>
      <c r="BI5" s="1391" t="s">
        <v>148</v>
      </c>
      <c r="BJ5" s="1448" t="s">
        <v>211</v>
      </c>
      <c r="BK5" s="1408" t="s">
        <v>214</v>
      </c>
      <c r="BL5" s="1408" t="s">
        <v>221</v>
      </c>
      <c r="BM5" s="1445" t="s">
        <v>317</v>
      </c>
      <c r="BN5" s="1238" t="s">
        <v>201</v>
      </c>
      <c r="BO5" s="1239"/>
      <c r="BP5" s="1238" t="s">
        <v>202</v>
      </c>
      <c r="BQ5" s="1239"/>
      <c r="BR5" s="1238" t="s">
        <v>203</v>
      </c>
      <c r="BS5" s="1239"/>
      <c r="BT5" s="1238" t="s">
        <v>204</v>
      </c>
      <c r="BU5" s="1239"/>
      <c r="BV5" s="1405" t="s">
        <v>272</v>
      </c>
      <c r="BW5" s="1411" t="s">
        <v>252</v>
      </c>
      <c r="BX5" s="1411" t="s">
        <v>253</v>
      </c>
      <c r="BY5" s="1394" t="s">
        <v>259</v>
      </c>
      <c r="BZ5" s="1394" t="s">
        <v>349</v>
      </c>
      <c r="CA5" s="1414" t="s">
        <v>288</v>
      </c>
      <c r="CB5" s="1414" t="s">
        <v>279</v>
      </c>
      <c r="CC5" s="1414" t="s">
        <v>280</v>
      </c>
      <c r="CD5" s="1414" t="s">
        <v>281</v>
      </c>
      <c r="CE5" s="1388" t="s">
        <v>292</v>
      </c>
      <c r="CF5" s="1388" t="s">
        <v>271</v>
      </c>
      <c r="CG5" s="1388" t="s">
        <v>269</v>
      </c>
      <c r="CH5" s="1388" t="s">
        <v>270</v>
      </c>
      <c r="CI5" s="1462" t="s">
        <v>294</v>
      </c>
      <c r="CJ5" s="1462" t="s">
        <v>295</v>
      </c>
      <c r="CK5" s="1375" t="s">
        <v>425</v>
      </c>
      <c r="CL5" s="1375" t="s">
        <v>426</v>
      </c>
      <c r="CM5" s="1375" t="s">
        <v>443</v>
      </c>
      <c r="CN5" s="1456" t="s">
        <v>370</v>
      </c>
      <c r="CO5" s="1456" t="s">
        <v>363</v>
      </c>
      <c r="CP5" s="1456" t="s">
        <v>369</v>
      </c>
      <c r="CQ5" s="1471" t="s">
        <v>368</v>
      </c>
      <c r="CR5" s="1471" t="s">
        <v>368</v>
      </c>
      <c r="CS5" s="1388" t="s">
        <v>388</v>
      </c>
      <c r="CT5" s="1388" t="s">
        <v>391</v>
      </c>
      <c r="CU5" s="1388" t="s">
        <v>229</v>
      </c>
      <c r="CV5" s="1388" t="s">
        <v>313</v>
      </c>
      <c r="CW5" s="1388" t="s">
        <v>333</v>
      </c>
      <c r="CX5" s="1388" t="s">
        <v>340</v>
      </c>
      <c r="CY5" s="1388" t="s">
        <v>436</v>
      </c>
      <c r="CZ5" s="1388" t="s">
        <v>437</v>
      </c>
      <c r="DA5" s="1388" t="s">
        <v>438</v>
      </c>
      <c r="DB5" s="1363" t="s">
        <v>195</v>
      </c>
      <c r="DC5" s="1363" t="s">
        <v>196</v>
      </c>
      <c r="DD5" s="1363" t="s">
        <v>197</v>
      </c>
      <c r="DE5" s="1379" t="s">
        <v>168</v>
      </c>
      <c r="DF5" s="1379" t="s">
        <v>407</v>
      </c>
      <c r="DG5" s="1388" t="s">
        <v>444</v>
      </c>
      <c r="DH5" s="1375" t="s">
        <v>425</v>
      </c>
      <c r="DI5" s="1375" t="s">
        <v>426</v>
      </c>
      <c r="DJ5" s="1375" t="s">
        <v>442</v>
      </c>
      <c r="DK5" s="1375" t="s">
        <v>476</v>
      </c>
      <c r="DL5" s="1375" t="s">
        <v>480</v>
      </c>
      <c r="DM5" s="1378" t="s">
        <v>530</v>
      </c>
      <c r="DN5" s="1378" t="s">
        <v>531</v>
      </c>
      <c r="DO5" s="1378" t="s">
        <v>532</v>
      </c>
      <c r="DP5" s="1378" t="s">
        <v>533</v>
      </c>
      <c r="DQ5" s="1378" t="s">
        <v>534</v>
      </c>
      <c r="DR5" s="1378" t="s">
        <v>535</v>
      </c>
      <c r="DS5" s="1378" t="s">
        <v>536</v>
      </c>
      <c r="DT5" s="1378" t="s">
        <v>537</v>
      </c>
      <c r="DU5" s="1357" t="s">
        <v>538</v>
      </c>
      <c r="DV5" s="1357" t="s">
        <v>539</v>
      </c>
      <c r="DW5" s="1354" t="s">
        <v>540</v>
      </c>
      <c r="DX5" s="1378" t="s">
        <v>541</v>
      </c>
      <c r="DY5" s="1351" t="s">
        <v>542</v>
      </c>
      <c r="DZ5" s="1354" t="s">
        <v>543</v>
      </c>
      <c r="EA5" s="1351" t="s">
        <v>544</v>
      </c>
      <c r="EB5" s="1382" t="s">
        <v>588</v>
      </c>
      <c r="EC5" s="1382" t="s">
        <v>589</v>
      </c>
      <c r="ED5" s="1382" t="s">
        <v>590</v>
      </c>
      <c r="EE5" s="1382" t="s">
        <v>623</v>
      </c>
      <c r="EF5" s="1382" t="s">
        <v>627</v>
      </c>
      <c r="EG5" s="1351" t="s">
        <v>625</v>
      </c>
      <c r="EH5" s="1351" t="s">
        <v>626</v>
      </c>
      <c r="EI5" s="1351" t="s">
        <v>592</v>
      </c>
      <c r="EJ5" s="1351" t="s">
        <v>593</v>
      </c>
      <c r="EK5" s="1366" t="s">
        <v>670</v>
      </c>
      <c r="EL5" s="1369" t="s">
        <v>686</v>
      </c>
      <c r="EM5" s="1370"/>
      <c r="EN5" s="1371"/>
      <c r="EO5" s="1363" t="s">
        <v>744</v>
      </c>
      <c r="EP5" s="1363" t="s">
        <v>746</v>
      </c>
      <c r="EQ5" s="1363" t="s">
        <v>747</v>
      </c>
      <c r="ER5" s="1363" t="s">
        <v>755</v>
      </c>
      <c r="ES5" s="1363" t="s">
        <v>757</v>
      </c>
      <c r="ET5" s="1360" t="s">
        <v>821</v>
      </c>
      <c r="EU5" s="1360" t="s">
        <v>822</v>
      </c>
      <c r="EV5" s="1468" t="s">
        <v>838</v>
      </c>
      <c r="EW5" s="1468" t="s">
        <v>843</v>
      </c>
      <c r="EX5" s="1465" t="s">
        <v>860</v>
      </c>
      <c r="EY5" s="1459" t="s">
        <v>865</v>
      </c>
    </row>
    <row r="6" spans="1:155" ht="24.75" customHeight="1" thickBot="1">
      <c r="A6" s="1416"/>
      <c r="B6" s="1418"/>
      <c r="C6" s="1421"/>
      <c r="D6" s="1429"/>
      <c r="E6" s="1430"/>
      <c r="F6" s="1430"/>
      <c r="G6" s="1430"/>
      <c r="H6" s="1431"/>
      <c r="I6" s="1434" t="s">
        <v>5</v>
      </c>
      <c r="J6" s="1435"/>
      <c r="K6" s="1435"/>
      <c r="L6" s="1435"/>
      <c r="M6" s="1435"/>
      <c r="N6" s="1435"/>
      <c r="O6" s="1436"/>
      <c r="P6" s="1423" t="s">
        <v>15</v>
      </c>
      <c r="Q6" s="1424"/>
      <c r="R6" s="1425"/>
      <c r="S6" s="1434" t="s">
        <v>107</v>
      </c>
      <c r="T6" s="1435"/>
      <c r="U6" s="1435"/>
      <c r="V6" s="1435"/>
      <c r="W6" s="1437"/>
      <c r="X6" s="1438"/>
      <c r="Y6" s="1439" t="s">
        <v>30</v>
      </c>
      <c r="Z6" s="1440"/>
      <c r="AA6" s="1440"/>
      <c r="AB6" s="1441"/>
      <c r="AC6" s="1439" t="s">
        <v>31</v>
      </c>
      <c r="AD6" s="1440"/>
      <c r="AE6" s="1440"/>
      <c r="AF6" s="1444"/>
      <c r="AG6" s="1423" t="s">
        <v>53</v>
      </c>
      <c r="AH6" s="1424"/>
      <c r="AI6" s="1424"/>
      <c r="AJ6" s="1425"/>
      <c r="AK6" s="1442" t="s">
        <v>54</v>
      </c>
      <c r="AL6" s="1424"/>
      <c r="AM6" s="1424"/>
      <c r="AN6" s="1443"/>
      <c r="AO6" s="1392"/>
      <c r="AP6" s="1392"/>
      <c r="AQ6" s="1392"/>
      <c r="AR6" s="1392"/>
      <c r="AS6" s="1364"/>
      <c r="AT6" s="1364"/>
      <c r="AU6" s="1364"/>
      <c r="AV6" s="1364"/>
      <c r="AW6" s="1364"/>
      <c r="AX6" s="1364"/>
      <c r="AY6" s="1453"/>
      <c r="AZ6" s="1454"/>
      <c r="BA6" s="1454"/>
      <c r="BB6" s="1454"/>
      <c r="BC6" s="1455"/>
      <c r="BD6" s="1400"/>
      <c r="BE6" s="1401"/>
      <c r="BF6" s="1401"/>
      <c r="BG6" s="1402"/>
      <c r="BH6" s="1392"/>
      <c r="BI6" s="1392"/>
      <c r="BJ6" s="1449"/>
      <c r="BK6" s="1409"/>
      <c r="BL6" s="1409"/>
      <c r="BM6" s="1446"/>
      <c r="BN6" s="1236" t="s">
        <v>161</v>
      </c>
      <c r="BO6" s="1236" t="s">
        <v>162</v>
      </c>
      <c r="BP6" s="1236" t="s">
        <v>161</v>
      </c>
      <c r="BQ6" s="1236" t="s">
        <v>162</v>
      </c>
      <c r="BR6" s="1236" t="s">
        <v>161</v>
      </c>
      <c r="BS6" s="1236" t="s">
        <v>162</v>
      </c>
      <c r="BT6" s="1236" t="s">
        <v>161</v>
      </c>
      <c r="BU6" s="1236" t="s">
        <v>162</v>
      </c>
      <c r="BV6" s="1406"/>
      <c r="BW6" s="1412"/>
      <c r="BX6" s="1412"/>
      <c r="BY6" s="1395"/>
      <c r="BZ6" s="1395"/>
      <c r="CA6" s="1389"/>
      <c r="CB6" s="1389"/>
      <c r="CC6" s="1389"/>
      <c r="CD6" s="1389"/>
      <c r="CE6" s="1389"/>
      <c r="CF6" s="1389"/>
      <c r="CG6" s="1389"/>
      <c r="CH6" s="1389"/>
      <c r="CI6" s="1463"/>
      <c r="CJ6" s="1463"/>
      <c r="CK6" s="1376"/>
      <c r="CL6" s="1376"/>
      <c r="CM6" s="1376"/>
      <c r="CN6" s="1457"/>
      <c r="CO6" s="1457"/>
      <c r="CP6" s="1457"/>
      <c r="CQ6" s="1472"/>
      <c r="CR6" s="1472"/>
      <c r="CS6" s="1389"/>
      <c r="CT6" s="1389"/>
      <c r="CU6" s="1389"/>
      <c r="CV6" s="1389"/>
      <c r="CW6" s="1389"/>
      <c r="CX6" s="1389"/>
      <c r="CY6" s="1389"/>
      <c r="CZ6" s="1389"/>
      <c r="DA6" s="1389"/>
      <c r="DB6" s="1364"/>
      <c r="DC6" s="1364"/>
      <c r="DD6" s="1364"/>
      <c r="DE6" s="1380"/>
      <c r="DF6" s="1380"/>
      <c r="DG6" s="1389"/>
      <c r="DH6" s="1376"/>
      <c r="DI6" s="1376"/>
      <c r="DJ6" s="1376"/>
      <c r="DK6" s="1376"/>
      <c r="DL6" s="1376"/>
      <c r="DM6" s="1285"/>
      <c r="DN6" s="1285"/>
      <c r="DO6" s="1285"/>
      <c r="DP6" s="1285"/>
      <c r="DQ6" s="1285"/>
      <c r="DR6" s="1285"/>
      <c r="DS6" s="1285"/>
      <c r="DT6" s="1285"/>
      <c r="DU6" s="1358"/>
      <c r="DV6" s="1358"/>
      <c r="DW6" s="1355"/>
      <c r="DX6" s="1285"/>
      <c r="DY6" s="1352"/>
      <c r="DZ6" s="1355"/>
      <c r="EA6" s="1352"/>
      <c r="EB6" s="1383"/>
      <c r="EC6" s="1383"/>
      <c r="ED6" s="1383"/>
      <c r="EE6" s="1383"/>
      <c r="EF6" s="1383"/>
      <c r="EG6" s="1352"/>
      <c r="EH6" s="1352"/>
      <c r="EI6" s="1352"/>
      <c r="EJ6" s="1352"/>
      <c r="EK6" s="1367"/>
      <c r="EL6" s="1372"/>
      <c r="EM6" s="1373"/>
      <c r="EN6" s="1374"/>
      <c r="EO6" s="1364"/>
      <c r="EP6" s="1364"/>
      <c r="EQ6" s="1364"/>
      <c r="ER6" s="1364"/>
      <c r="ES6" s="1364"/>
      <c r="ET6" s="1361"/>
      <c r="EU6" s="1361"/>
      <c r="EV6" s="1469"/>
      <c r="EW6" s="1469"/>
      <c r="EX6" s="1466"/>
      <c r="EY6" s="1460"/>
    </row>
    <row r="7" spans="1:155" ht="87" customHeight="1" thickBot="1">
      <c r="A7" s="69" t="s">
        <v>743</v>
      </c>
      <c r="B7" s="1419"/>
      <c r="C7" s="1422"/>
      <c r="D7" s="66" t="s">
        <v>400</v>
      </c>
      <c r="E7" s="67" t="s">
        <v>126</v>
      </c>
      <c r="F7" s="67" t="s">
        <v>125</v>
      </c>
      <c r="G7" s="121" t="s">
        <v>35</v>
      </c>
      <c r="H7" s="122" t="s">
        <v>401</v>
      </c>
      <c r="I7" s="9" t="s">
        <v>18</v>
      </c>
      <c r="J7" s="10" t="s">
        <v>13</v>
      </c>
      <c r="K7" s="10" t="s">
        <v>9</v>
      </c>
      <c r="L7" s="11" t="s">
        <v>19</v>
      </c>
      <c r="M7" s="9" t="s">
        <v>7</v>
      </c>
      <c r="N7" s="10" t="s">
        <v>8</v>
      </c>
      <c r="O7" s="162"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3"/>
      <c r="AP7" s="1393"/>
      <c r="AQ7" s="1393"/>
      <c r="AR7" s="1393"/>
      <c r="AS7" s="1365"/>
      <c r="AT7" s="1404"/>
      <c r="AU7" s="1404"/>
      <c r="AV7" s="1404"/>
      <c r="AW7" s="1404"/>
      <c r="AX7" s="1404"/>
      <c r="AY7" s="97" t="s">
        <v>18</v>
      </c>
      <c r="AZ7" s="98" t="s">
        <v>13</v>
      </c>
      <c r="BA7" s="98" t="s">
        <v>9</v>
      </c>
      <c r="BB7" s="98" t="s">
        <v>23</v>
      </c>
      <c r="BC7" s="99" t="s">
        <v>7</v>
      </c>
      <c r="BD7" s="97" t="s">
        <v>9</v>
      </c>
      <c r="BE7" s="98" t="s">
        <v>17</v>
      </c>
      <c r="BF7" s="98" t="s">
        <v>97</v>
      </c>
      <c r="BG7" s="99" t="s">
        <v>98</v>
      </c>
      <c r="BH7" s="1393"/>
      <c r="BI7" s="1393"/>
      <c r="BJ7" s="1450"/>
      <c r="BK7" s="1410"/>
      <c r="BL7" s="1410"/>
      <c r="BM7" s="1447"/>
      <c r="BN7" s="1237"/>
      <c r="BO7" s="1237"/>
      <c r="BP7" s="1237"/>
      <c r="BQ7" s="1237"/>
      <c r="BR7" s="1237"/>
      <c r="BS7" s="1237"/>
      <c r="BT7" s="1237"/>
      <c r="BU7" s="1237"/>
      <c r="BV7" s="1407"/>
      <c r="BW7" s="1413"/>
      <c r="BX7" s="1413"/>
      <c r="BY7" s="1396"/>
      <c r="BZ7" s="1396"/>
      <c r="CA7" s="1390"/>
      <c r="CB7" s="1390"/>
      <c r="CC7" s="1390"/>
      <c r="CD7" s="1390"/>
      <c r="CE7" s="1390"/>
      <c r="CF7" s="1390"/>
      <c r="CG7" s="1390"/>
      <c r="CH7" s="1390"/>
      <c r="CI7" s="1464"/>
      <c r="CJ7" s="1464"/>
      <c r="CK7" s="1377"/>
      <c r="CL7" s="1377"/>
      <c r="CM7" s="1377"/>
      <c r="CN7" s="1458"/>
      <c r="CO7" s="1458"/>
      <c r="CP7" s="1458"/>
      <c r="CQ7" s="1473"/>
      <c r="CR7" s="1473"/>
      <c r="CS7" s="1390"/>
      <c r="CT7" s="1390"/>
      <c r="CU7" s="1390"/>
      <c r="CV7" s="1390"/>
      <c r="CW7" s="1390"/>
      <c r="CX7" s="1390"/>
      <c r="CY7" s="1390"/>
      <c r="CZ7" s="1390"/>
      <c r="DA7" s="1390"/>
      <c r="DB7" s="1365"/>
      <c r="DC7" s="1365"/>
      <c r="DD7" s="1365"/>
      <c r="DE7" s="1381"/>
      <c r="DF7" s="1381"/>
      <c r="DG7" s="1390"/>
      <c r="DH7" s="1377"/>
      <c r="DI7" s="1377"/>
      <c r="DJ7" s="1377"/>
      <c r="DK7" s="1377"/>
      <c r="DL7" s="1377"/>
      <c r="DM7" s="1286"/>
      <c r="DN7" s="1286"/>
      <c r="DO7" s="1286"/>
      <c r="DP7" s="1286"/>
      <c r="DQ7" s="1286"/>
      <c r="DR7" s="1286"/>
      <c r="DS7" s="1286"/>
      <c r="DT7" s="1286"/>
      <c r="DU7" s="1359"/>
      <c r="DV7" s="1359"/>
      <c r="DW7" s="1356"/>
      <c r="DX7" s="1286"/>
      <c r="DY7" s="1353"/>
      <c r="DZ7" s="1356"/>
      <c r="EA7" s="1353"/>
      <c r="EB7" s="1384"/>
      <c r="EC7" s="1384"/>
      <c r="ED7" s="1384"/>
      <c r="EE7" s="1384"/>
      <c r="EF7" s="1384"/>
      <c r="EG7" s="1353"/>
      <c r="EH7" s="1353"/>
      <c r="EI7" s="1353"/>
      <c r="EJ7" s="1353"/>
      <c r="EK7" s="1368"/>
      <c r="EL7" s="644" t="s">
        <v>687</v>
      </c>
      <c r="EM7" s="644" t="s">
        <v>95</v>
      </c>
      <c r="EN7" s="644" t="s">
        <v>96</v>
      </c>
      <c r="EO7" s="1365"/>
      <c r="EP7" s="1365"/>
      <c r="EQ7" s="1365"/>
      <c r="ER7" s="1365"/>
      <c r="ES7" s="1365"/>
      <c r="ET7" s="1362"/>
      <c r="EU7" s="1362"/>
      <c r="EV7" s="1470"/>
      <c r="EW7" s="1470"/>
      <c r="EX7" s="1467"/>
      <c r="EY7" s="1461"/>
    </row>
    <row r="8" spans="1:155" ht="14.25" customHeight="1" thickBot="1">
      <c r="A8" s="70" t="s">
        <v>102</v>
      </c>
      <c r="B8" s="141" t="s">
        <v>402</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453</v>
      </c>
      <c r="DI8" s="50" t="s">
        <v>454</v>
      </c>
      <c r="DJ8" s="473" t="s">
        <v>455</v>
      </c>
      <c r="DK8" s="473" t="s">
        <v>477</v>
      </c>
      <c r="DL8" s="473" t="s">
        <v>478</v>
      </c>
      <c r="DM8" s="473" t="s">
        <v>545</v>
      </c>
      <c r="DN8" s="473" t="s">
        <v>546</v>
      </c>
      <c r="DO8" s="473" t="s">
        <v>547</v>
      </c>
      <c r="DP8" s="473" t="s">
        <v>548</v>
      </c>
      <c r="DQ8" s="473" t="s">
        <v>549</v>
      </c>
      <c r="DR8" s="473" t="s">
        <v>550</v>
      </c>
      <c r="DS8" s="473" t="s">
        <v>551</v>
      </c>
      <c r="DT8" s="473" t="s">
        <v>552</v>
      </c>
      <c r="DU8" s="477" t="s">
        <v>553</v>
      </c>
      <c r="DV8" s="473" t="s">
        <v>554</v>
      </c>
      <c r="DW8" s="473" t="s">
        <v>555</v>
      </c>
      <c r="DX8" s="473" t="s">
        <v>556</v>
      </c>
      <c r="DY8" s="473" t="s">
        <v>557</v>
      </c>
      <c r="DZ8" s="473" t="s">
        <v>558</v>
      </c>
      <c r="EA8" s="473" t="s">
        <v>559</v>
      </c>
      <c r="EB8" s="473" t="s">
        <v>600</v>
      </c>
      <c r="EC8" s="473" t="s">
        <v>601</v>
      </c>
      <c r="ED8" s="473" t="s">
        <v>602</v>
      </c>
      <c r="EE8" s="473" t="s">
        <v>603</v>
      </c>
      <c r="EF8" s="473" t="s">
        <v>604</v>
      </c>
      <c r="EG8" s="473" t="s">
        <v>605</v>
      </c>
      <c r="EH8" s="473" t="s">
        <v>606</v>
      </c>
      <c r="EI8" s="473" t="s">
        <v>607</v>
      </c>
      <c r="EJ8" s="473" t="s">
        <v>608</v>
      </c>
      <c r="EK8" s="473" t="s">
        <v>671</v>
      </c>
      <c r="EL8" s="645" t="s">
        <v>688</v>
      </c>
      <c r="EM8" s="645" t="s">
        <v>689</v>
      </c>
      <c r="EN8" s="645" t="s">
        <v>690</v>
      </c>
      <c r="EO8" s="50" t="s">
        <v>745</v>
      </c>
      <c r="EP8" s="50" t="s">
        <v>750</v>
      </c>
      <c r="EQ8" s="50" t="s">
        <v>751</v>
      </c>
      <c r="ER8" s="50" t="s">
        <v>756</v>
      </c>
      <c r="ES8" s="473" t="s">
        <v>758</v>
      </c>
      <c r="ET8" s="1144" t="s">
        <v>823</v>
      </c>
      <c r="EU8" s="1144" t="s">
        <v>824</v>
      </c>
      <c r="EV8" s="155" t="s">
        <v>832</v>
      </c>
      <c r="EW8" s="155">
        <v>153</v>
      </c>
      <c r="EX8" s="473" t="s">
        <v>859</v>
      </c>
      <c r="EY8" s="473" t="s">
        <v>864</v>
      </c>
    </row>
    <row r="9" spans="1:155" ht="14.25" customHeight="1">
      <c r="A9" s="20" t="s">
        <v>45</v>
      </c>
      <c r="B9" s="21" t="s">
        <v>402</v>
      </c>
      <c r="C9" s="22" t="s">
        <v>3</v>
      </c>
      <c r="D9" s="23" t="s">
        <v>20</v>
      </c>
      <c r="E9" s="21" t="s">
        <v>21</v>
      </c>
      <c r="F9" s="21">
        <v>32</v>
      </c>
      <c r="G9" s="6"/>
      <c r="H9" s="136" t="s">
        <v>245</v>
      </c>
      <c r="I9" s="183"/>
      <c r="J9" s="184"/>
      <c r="K9" s="184"/>
      <c r="L9" s="184"/>
      <c r="M9" s="184"/>
      <c r="N9" s="184"/>
      <c r="O9" s="184"/>
      <c r="P9" s="184"/>
      <c r="Q9" s="184"/>
      <c r="R9" s="184"/>
      <c r="S9" s="184"/>
      <c r="T9" s="184"/>
      <c r="U9" s="184"/>
      <c r="V9" s="184"/>
      <c r="W9" s="184"/>
      <c r="X9" s="191"/>
      <c r="Y9" s="194"/>
      <c r="Z9" s="184"/>
      <c r="AA9" s="184"/>
      <c r="AB9" s="184"/>
      <c r="AC9" s="184"/>
      <c r="AD9" s="184"/>
      <c r="AE9" s="184"/>
      <c r="AF9" s="191"/>
      <c r="AG9" s="194"/>
      <c r="AH9" s="184"/>
      <c r="AI9" s="184"/>
      <c r="AJ9" s="195"/>
      <c r="AK9" s="183"/>
      <c r="AL9" s="184"/>
      <c r="AM9" s="184"/>
      <c r="AN9" s="191"/>
      <c r="AO9" s="261"/>
      <c r="AP9" s="157"/>
      <c r="AQ9" s="157"/>
      <c r="AR9" s="196"/>
      <c r="AS9" s="341"/>
      <c r="AT9" s="198"/>
      <c r="AU9" s="197"/>
      <c r="AV9" s="198"/>
      <c r="AW9" s="197"/>
      <c r="AX9" s="198"/>
      <c r="AY9" s="123"/>
      <c r="AZ9" s="123"/>
      <c r="BA9" s="124"/>
      <c r="BB9" s="124"/>
      <c r="BC9" s="125"/>
      <c r="BD9" s="126"/>
      <c r="BE9" s="127"/>
      <c r="BF9" s="127"/>
      <c r="BG9" s="199"/>
      <c r="BH9" s="157"/>
      <c r="BI9" s="157"/>
      <c r="BJ9" s="197"/>
      <c r="BK9" s="157"/>
      <c r="BL9" s="157"/>
      <c r="BM9" s="157"/>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c r="CO9" s="159"/>
      <c r="CP9" s="159"/>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992"/>
      <c r="EP9" s="992"/>
      <c r="EQ9" s="992"/>
      <c r="ER9" s="992"/>
      <c r="ES9" s="1000"/>
      <c r="ET9" s="1145"/>
      <c r="EU9" s="1145"/>
      <c r="EV9" s="1158"/>
      <c r="EW9" s="1158"/>
      <c r="EX9" s="159"/>
      <c r="EY9" s="159"/>
    </row>
    <row r="10" spans="1:155" ht="14.25" customHeight="1">
      <c r="A10" s="20" t="s">
        <v>143</v>
      </c>
      <c r="B10" s="21" t="s">
        <v>402</v>
      </c>
      <c r="C10" s="22" t="s">
        <v>3</v>
      </c>
      <c r="D10" s="23" t="s">
        <v>82</v>
      </c>
      <c r="E10" s="21" t="s">
        <v>82</v>
      </c>
      <c r="F10" s="21" t="s">
        <v>138</v>
      </c>
      <c r="G10" s="6"/>
      <c r="H10" s="28"/>
      <c r="I10" s="183"/>
      <c r="J10" s="184"/>
      <c r="K10" s="184"/>
      <c r="L10" s="184"/>
      <c r="M10" s="184"/>
      <c r="N10" s="184"/>
      <c r="O10" s="184"/>
      <c r="P10" s="184"/>
      <c r="Q10" s="184"/>
      <c r="R10" s="184"/>
      <c r="S10" s="184"/>
      <c r="T10" s="184"/>
      <c r="U10" s="184"/>
      <c r="V10" s="184"/>
      <c r="W10" s="184"/>
      <c r="X10" s="191"/>
      <c r="Y10" s="200"/>
      <c r="Z10" s="201"/>
      <c r="AA10" s="202"/>
      <c r="AB10" s="201"/>
      <c r="AC10" s="184"/>
      <c r="AD10" s="184"/>
      <c r="AE10" s="184"/>
      <c r="AF10" s="191"/>
      <c r="AG10" s="194"/>
      <c r="AH10" s="184"/>
      <c r="AI10" s="184"/>
      <c r="AJ10" s="195"/>
      <c r="AK10" s="183"/>
      <c r="AL10" s="184"/>
      <c r="AM10" s="184"/>
      <c r="AN10" s="191"/>
      <c r="AO10" s="261"/>
      <c r="AP10" s="158"/>
      <c r="AQ10" s="157"/>
      <c r="AR10" s="158"/>
      <c r="AS10" s="342"/>
      <c r="AT10" s="195"/>
      <c r="AU10" s="203"/>
      <c r="AV10" s="195"/>
      <c r="AW10" s="203"/>
      <c r="AX10" s="195"/>
      <c r="AY10" s="128"/>
      <c r="AZ10" s="129"/>
      <c r="BA10" s="129"/>
      <c r="BB10" s="129"/>
      <c r="BC10" s="125"/>
      <c r="BD10" s="126"/>
      <c r="BE10" s="127"/>
      <c r="BF10" s="127"/>
      <c r="BG10" s="199"/>
      <c r="BH10" s="158"/>
      <c r="BI10" s="158"/>
      <c r="BJ10" s="204"/>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c r="EP10" s="323"/>
      <c r="EQ10" s="323"/>
      <c r="ER10" s="323"/>
      <c r="ES10" s="342"/>
      <c r="ET10" s="1145"/>
      <c r="EU10" s="1145"/>
      <c r="EV10" s="1158"/>
      <c r="EW10" s="1158"/>
      <c r="EX10" s="292"/>
      <c r="EY10" s="292"/>
    </row>
    <row r="11" spans="1:155" ht="14.25" customHeight="1" thickBot="1">
      <c r="A11" s="20" t="s">
        <v>403</v>
      </c>
      <c r="B11" s="21" t="s">
        <v>402</v>
      </c>
      <c r="C11" s="22" t="s">
        <v>3</v>
      </c>
      <c r="D11" s="23" t="s">
        <v>20</v>
      </c>
      <c r="E11" s="21" t="s">
        <v>51</v>
      </c>
      <c r="F11" s="21">
        <v>32</v>
      </c>
      <c r="G11" s="6"/>
      <c r="H11" s="28" t="s">
        <v>36</v>
      </c>
      <c r="I11" s="185"/>
      <c r="J11" s="186"/>
      <c r="K11" s="186"/>
      <c r="L11" s="186"/>
      <c r="M11" s="186"/>
      <c r="N11" s="186"/>
      <c r="O11" s="184"/>
      <c r="P11" s="186"/>
      <c r="Q11" s="186"/>
      <c r="R11" s="186"/>
      <c r="S11" s="186"/>
      <c r="T11" s="186"/>
      <c r="U11" s="186"/>
      <c r="V11" s="186"/>
      <c r="W11" s="186"/>
      <c r="X11" s="192"/>
      <c r="Y11" s="194"/>
      <c r="Z11" s="184"/>
      <c r="AA11" s="184"/>
      <c r="AB11" s="184"/>
      <c r="AC11" s="186"/>
      <c r="AD11" s="186"/>
      <c r="AE11" s="186"/>
      <c r="AF11" s="192"/>
      <c r="AG11" s="205"/>
      <c r="AH11" s="186"/>
      <c r="AI11" s="186"/>
      <c r="AJ11" s="206"/>
      <c r="AK11" s="185"/>
      <c r="AL11" s="186"/>
      <c r="AM11" s="186"/>
      <c r="AN11" s="192"/>
      <c r="AO11" s="262"/>
      <c r="AP11" s="158"/>
      <c r="AQ11" s="158"/>
      <c r="AR11" s="157"/>
      <c r="AS11" s="343"/>
      <c r="AT11" s="206"/>
      <c r="AU11" s="205"/>
      <c r="AV11" s="206"/>
      <c r="AW11" s="205"/>
      <c r="AX11" s="206"/>
      <c r="AY11" s="126"/>
      <c r="AZ11" s="127"/>
      <c r="BA11" s="127"/>
      <c r="BB11" s="127"/>
      <c r="BC11" s="125"/>
      <c r="BD11" s="126"/>
      <c r="BE11" s="127"/>
      <c r="BF11" s="127"/>
      <c r="BG11" s="199"/>
      <c r="BH11" s="158"/>
      <c r="BI11" s="158"/>
      <c r="BJ11" s="205"/>
      <c r="BK11" s="158"/>
      <c r="BL11" s="158"/>
      <c r="BM11" s="158"/>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c r="CO11" s="160"/>
      <c r="CP11" s="159"/>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991"/>
      <c r="EP11" s="991"/>
      <c r="EQ11" s="991"/>
      <c r="ER11" s="991"/>
      <c r="ES11" s="1001"/>
      <c r="ET11" s="1145"/>
      <c r="EU11" s="1145"/>
      <c r="EV11" s="1158"/>
      <c r="EW11" s="1158"/>
      <c r="EX11" s="292"/>
      <c r="EY11" s="292"/>
    </row>
    <row r="12" spans="1:155" ht="14.25" customHeight="1">
      <c r="A12" s="20" t="s">
        <v>404</v>
      </c>
      <c r="B12" s="21" t="s">
        <v>402</v>
      </c>
      <c r="C12" s="22" t="s">
        <v>3</v>
      </c>
      <c r="D12" s="23" t="s">
        <v>20</v>
      </c>
      <c r="E12" s="21" t="s">
        <v>20</v>
      </c>
      <c r="F12" s="21">
        <v>31</v>
      </c>
      <c r="G12" s="6"/>
      <c r="H12" s="218"/>
      <c r="I12" s="185"/>
      <c r="J12" s="186"/>
      <c r="K12" s="186"/>
      <c r="L12" s="186"/>
      <c r="M12" s="186"/>
      <c r="N12" s="186"/>
      <c r="O12" s="184"/>
      <c r="P12" s="186"/>
      <c r="Q12" s="186"/>
      <c r="R12" s="186"/>
      <c r="S12" s="186"/>
      <c r="T12" s="186"/>
      <c r="U12" s="186"/>
      <c r="V12" s="186"/>
      <c r="W12" s="186"/>
      <c r="X12" s="192"/>
      <c r="Y12" s="194"/>
      <c r="Z12" s="184"/>
      <c r="AA12" s="184"/>
      <c r="AB12" s="184"/>
      <c r="AC12" s="186"/>
      <c r="AD12" s="186"/>
      <c r="AE12" s="186"/>
      <c r="AF12" s="192"/>
      <c r="AG12" s="205"/>
      <c r="AH12" s="186"/>
      <c r="AI12" s="186"/>
      <c r="AJ12" s="206"/>
      <c r="AK12" s="185"/>
      <c r="AL12" s="186"/>
      <c r="AM12" s="186"/>
      <c r="AN12" s="192"/>
      <c r="AO12" s="262"/>
      <c r="AP12" s="158"/>
      <c r="AQ12" s="158"/>
      <c r="AR12" s="157"/>
      <c r="AS12" s="343"/>
      <c r="AT12" s="206"/>
      <c r="AU12" s="205"/>
      <c r="AV12" s="206"/>
      <c r="AW12" s="205"/>
      <c r="AX12" s="206"/>
      <c r="AY12" s="126"/>
      <c r="AZ12" s="127"/>
      <c r="BA12" s="127"/>
      <c r="BB12" s="127"/>
      <c r="BC12" s="125"/>
      <c r="BD12" s="126"/>
      <c r="BE12" s="127"/>
      <c r="BF12" s="127"/>
      <c r="BG12" s="199"/>
      <c r="BH12" s="158"/>
      <c r="BI12" s="158"/>
      <c r="BJ12" s="205"/>
      <c r="BK12" s="158"/>
      <c r="BL12" s="158"/>
      <c r="BM12" s="158"/>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c r="CO12" s="160"/>
      <c r="CP12" s="159"/>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993"/>
      <c r="EP12" s="993"/>
      <c r="EQ12" s="993"/>
      <c r="ER12" s="993"/>
      <c r="ES12" s="1002"/>
      <c r="ET12" s="1145"/>
      <c r="EU12" s="1145"/>
      <c r="EV12" s="1158"/>
      <c r="EW12" s="1158"/>
      <c r="EX12" s="292"/>
      <c r="EY12" s="292"/>
    </row>
    <row r="13" spans="1:155" ht="14.25" customHeight="1" thickBot="1">
      <c r="A13" s="74" t="s">
        <v>0</v>
      </c>
      <c r="B13" s="75" t="s">
        <v>402</v>
      </c>
      <c r="C13" s="76" t="s">
        <v>4</v>
      </c>
      <c r="D13" s="77"/>
      <c r="E13" s="78"/>
      <c r="F13" s="78"/>
      <c r="G13" s="79"/>
      <c r="H13" s="80"/>
      <c r="I13" s="187">
        <f t="shared" ref="I13:AE13" si="0">SUBTOTAL(9,I8:I12)</f>
        <v>0</v>
      </c>
      <c r="J13" s="187">
        <f t="shared" si="0"/>
        <v>0</v>
      </c>
      <c r="K13" s="187">
        <f t="shared" si="0"/>
        <v>0</v>
      </c>
      <c r="L13" s="187">
        <f t="shared" si="0"/>
        <v>0</v>
      </c>
      <c r="M13" s="187">
        <f t="shared" si="0"/>
        <v>0</v>
      </c>
      <c r="N13" s="187">
        <f t="shared" si="0"/>
        <v>0</v>
      </c>
      <c r="O13" s="187">
        <f t="shared" si="0"/>
        <v>0</v>
      </c>
      <c r="P13" s="187">
        <f t="shared" si="0"/>
        <v>0</v>
      </c>
      <c r="Q13" s="187">
        <f t="shared" si="0"/>
        <v>0</v>
      </c>
      <c r="R13" s="187">
        <f t="shared" si="0"/>
        <v>0</v>
      </c>
      <c r="S13" s="187">
        <f t="shared" si="0"/>
        <v>0</v>
      </c>
      <c r="T13" s="187">
        <f t="shared" si="0"/>
        <v>0</v>
      </c>
      <c r="U13" s="187">
        <f t="shared" si="0"/>
        <v>0</v>
      </c>
      <c r="V13" s="187">
        <f t="shared" si="0"/>
        <v>0</v>
      </c>
      <c r="W13" s="187">
        <f t="shared" si="0"/>
        <v>0</v>
      </c>
      <c r="X13" s="187">
        <f t="shared" si="0"/>
        <v>0</v>
      </c>
      <c r="Y13" s="187">
        <f t="shared" si="0"/>
        <v>0</v>
      </c>
      <c r="Z13" s="187">
        <f t="shared" si="0"/>
        <v>0</v>
      </c>
      <c r="AA13" s="187">
        <f t="shared" si="0"/>
        <v>0</v>
      </c>
      <c r="AB13" s="187">
        <f t="shared" si="0"/>
        <v>0</v>
      </c>
      <c r="AC13" s="187">
        <f t="shared" si="0"/>
        <v>0</v>
      </c>
      <c r="AD13" s="187">
        <f t="shared" si="0"/>
        <v>0</v>
      </c>
      <c r="AE13" s="187">
        <f t="shared" si="0"/>
        <v>0</v>
      </c>
      <c r="AF13" s="187">
        <f>SUBTOTAL(9,AF9:AF12)</f>
        <v>0</v>
      </c>
      <c r="AG13" s="187">
        <f t="shared" ref="AG13:AT13" si="1">SUBTOTAL(9,AG8:AG12)</f>
        <v>0</v>
      </c>
      <c r="AH13" s="187">
        <f t="shared" si="1"/>
        <v>0</v>
      </c>
      <c r="AI13" s="187">
        <f t="shared" si="1"/>
        <v>0</v>
      </c>
      <c r="AJ13" s="187">
        <f t="shared" si="1"/>
        <v>0</v>
      </c>
      <c r="AK13" s="187">
        <f t="shared" si="1"/>
        <v>0</v>
      </c>
      <c r="AL13" s="187">
        <f t="shared" si="1"/>
        <v>0</v>
      </c>
      <c r="AM13" s="187">
        <f t="shared" si="1"/>
        <v>0</v>
      </c>
      <c r="AN13" s="187">
        <f t="shared" si="1"/>
        <v>0</v>
      </c>
      <c r="AO13" s="187">
        <f t="shared" si="1"/>
        <v>0</v>
      </c>
      <c r="AP13" s="187">
        <f t="shared" si="1"/>
        <v>0</v>
      </c>
      <c r="AQ13" s="187">
        <f t="shared" si="1"/>
        <v>0</v>
      </c>
      <c r="AR13" s="187">
        <f t="shared" si="1"/>
        <v>0</v>
      </c>
      <c r="AS13" s="187">
        <f t="shared" si="1"/>
        <v>0</v>
      </c>
      <c r="AT13" s="187">
        <f t="shared" si="1"/>
        <v>0</v>
      </c>
      <c r="AU13" s="207"/>
      <c r="AV13" s="132"/>
      <c r="AW13" s="207"/>
      <c r="AX13" s="132"/>
      <c r="AY13" s="187">
        <f>SUBTOTAL(9,AY8:AY12)</f>
        <v>0</v>
      </c>
      <c r="AZ13" s="187">
        <f>SUBTOTAL(9,AZ8:AZ12)</f>
        <v>0</v>
      </c>
      <c r="BA13" s="187">
        <f>SUBTOTAL(9,BA8:BA12)</f>
        <v>0</v>
      </c>
      <c r="BB13" s="187">
        <f>SUBTOTAL(9,BB8:BB12)</f>
        <v>0</v>
      </c>
      <c r="BC13" s="187">
        <f>SUBTOTAL(9,BC8:BC12)</f>
        <v>0</v>
      </c>
      <c r="BD13" s="208" t="str">
        <f>IF(ISNUMBER(BA13/AZ13),BA13/AZ13," - ")</f>
        <v xml:space="preserve"> - </v>
      </c>
      <c r="BE13" s="209" t="str">
        <f>IF(ISNUMBER(BB13/BA13),BB13/BA13, " - ")</f>
        <v xml:space="preserve"> - </v>
      </c>
      <c r="BF13" s="209" t="str">
        <f>IF(ISNUMBER(BC13/BA13),BC13/BA13, " - ")</f>
        <v xml:space="preserve"> - </v>
      </c>
      <c r="BG13" s="210" t="str">
        <f>IF(ISNUMBER((AY13+AZ13)/BA13),(AY13+AZ13)/BA13," - ")</f>
        <v xml:space="preserve"> - </v>
      </c>
      <c r="BH13" s="143">
        <f>SUBTOTAL(9,BH8:BH12)</f>
        <v>0</v>
      </c>
      <c r="BI13" s="143">
        <f>SUBTOTAL(9,BI8:BI12)</f>
        <v>0</v>
      </c>
      <c r="BJ13" s="143">
        <f>SUBTOTAL(9,BJ8:BJ12)</f>
        <v>0</v>
      </c>
      <c r="BK13" s="143">
        <f>SUBTOTAL(9,BK8:BK12)</f>
        <v>0</v>
      </c>
      <c r="BL13" s="143">
        <f>SUBTOTAL(9,BL8:BL12)</f>
        <v>0</v>
      </c>
      <c r="BM13" s="143" t="e">
        <f>AVERAGE(BM8:BM12)</f>
        <v>#DIV/0!</v>
      </c>
      <c r="BN13" s="154"/>
      <c r="BO13" s="154"/>
      <c r="BP13" s="154"/>
      <c r="BQ13" s="154"/>
      <c r="BR13" s="154"/>
      <c r="BS13" s="154"/>
      <c r="BT13" s="154"/>
      <c r="BU13" s="154"/>
      <c r="BV13" s="143"/>
      <c r="BW13" s="143"/>
      <c r="BX13" s="143"/>
      <c r="BY13" s="154"/>
      <c r="BZ13" s="154"/>
      <c r="CA13" s="143">
        <f t="shared" ref="CA13:CL13" si="2">SUBTOTAL(9,CA8:CA12)</f>
        <v>0</v>
      </c>
      <c r="CB13" s="143">
        <f t="shared" si="2"/>
        <v>0</v>
      </c>
      <c r="CC13" s="143">
        <f t="shared" si="2"/>
        <v>0</v>
      </c>
      <c r="CD13" s="143">
        <f t="shared" si="2"/>
        <v>0</v>
      </c>
      <c r="CE13" s="143">
        <f t="shared" si="2"/>
        <v>0</v>
      </c>
      <c r="CF13" s="143">
        <f t="shared" si="2"/>
        <v>0</v>
      </c>
      <c r="CG13" s="143">
        <f t="shared" si="2"/>
        <v>0</v>
      </c>
      <c r="CH13" s="143">
        <f t="shared" si="2"/>
        <v>0</v>
      </c>
      <c r="CI13" s="143">
        <f t="shared" si="2"/>
        <v>0</v>
      </c>
      <c r="CJ13" s="143">
        <f t="shared" si="2"/>
        <v>0</v>
      </c>
      <c r="CK13" s="143">
        <f t="shared" si="2"/>
        <v>0</v>
      </c>
      <c r="CL13" s="143">
        <f t="shared" si="2"/>
        <v>0</v>
      </c>
      <c r="CM13" s="143"/>
      <c r="CN13" s="154" t="e">
        <f>AVERAGE(CN8:CN12)</f>
        <v>#DIV/0!</v>
      </c>
      <c r="CO13" s="154"/>
      <c r="CP13" s="154"/>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 t="shared" ref="EL13:ES13" si="3">SUBTOTAL(9,EL8:EL12)</f>
        <v>0</v>
      </c>
      <c r="EM13" s="143">
        <f t="shared" si="3"/>
        <v>0</v>
      </c>
      <c r="EN13" s="143">
        <f t="shared" si="3"/>
        <v>0</v>
      </c>
      <c r="EO13" s="143">
        <f t="shared" si="3"/>
        <v>0</v>
      </c>
      <c r="EP13" s="143">
        <f t="shared" si="3"/>
        <v>0</v>
      </c>
      <c r="EQ13" s="143">
        <f t="shared" si="3"/>
        <v>0</v>
      </c>
      <c r="ER13" s="143">
        <f t="shared" si="3"/>
        <v>0</v>
      </c>
      <c r="ES13" s="154">
        <f t="shared" si="3"/>
        <v>0</v>
      </c>
      <c r="ET13" s="1146"/>
      <c r="EU13" s="1146"/>
      <c r="EV13" s="154">
        <f>SUBTOTAL(9,EV8:EV12)</f>
        <v>0</v>
      </c>
      <c r="EW13" s="154"/>
      <c r="EX13" s="154">
        <f>SUBTOTAL(9,EX8:EX12)</f>
        <v>0</v>
      </c>
      <c r="EY13" s="154">
        <f>SUBTOTAL(9,EY8:EY12)</f>
        <v>0</v>
      </c>
    </row>
    <row r="14" spans="1:155" ht="14.25" customHeight="1" thickBot="1">
      <c r="A14" s="70" t="s">
        <v>101</v>
      </c>
      <c r="B14" s="82" t="s">
        <v>402</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20"/>
      <c r="EQ14" s="320"/>
      <c r="ER14" s="320"/>
      <c r="ES14" s="341"/>
      <c r="ET14" s="186"/>
      <c r="EU14" s="186"/>
      <c r="EV14" s="155"/>
      <c r="EW14" s="155"/>
      <c r="EX14" s="155"/>
      <c r="EY14" s="155"/>
    </row>
    <row r="15" spans="1:155" ht="14.25" customHeight="1">
      <c r="A15" s="7" t="s">
        <v>405</v>
      </c>
      <c r="B15" s="21" t="s">
        <v>402</v>
      </c>
      <c r="C15" s="22" t="s">
        <v>3</v>
      </c>
      <c r="D15" s="23" t="s">
        <v>20</v>
      </c>
      <c r="E15" s="21" t="s">
        <v>22</v>
      </c>
      <c r="F15" s="21">
        <v>33</v>
      </c>
      <c r="G15" s="6"/>
      <c r="H15" s="24"/>
      <c r="I15" s="185"/>
      <c r="J15" s="186"/>
      <c r="K15" s="186"/>
      <c r="L15" s="186"/>
      <c r="M15" s="186"/>
      <c r="N15" s="186"/>
      <c r="O15" s="184"/>
      <c r="P15" s="186"/>
      <c r="Q15" s="186"/>
      <c r="R15" s="186"/>
      <c r="S15" s="186"/>
      <c r="T15" s="186"/>
      <c r="U15" s="186"/>
      <c r="V15" s="186"/>
      <c r="W15" s="186"/>
      <c r="X15" s="192"/>
      <c r="Y15" s="205"/>
      <c r="Z15" s="186"/>
      <c r="AA15" s="186"/>
      <c r="AB15" s="186"/>
      <c r="AC15" s="186"/>
      <c r="AD15" s="186"/>
      <c r="AE15" s="186"/>
      <c r="AF15" s="192"/>
      <c r="AG15" s="205"/>
      <c r="AH15" s="186"/>
      <c r="AI15" s="186"/>
      <c r="AJ15" s="206"/>
      <c r="AK15" s="185"/>
      <c r="AL15" s="186"/>
      <c r="AM15" s="186"/>
      <c r="AN15" s="192"/>
      <c r="AO15" s="262"/>
      <c r="AP15" s="158"/>
      <c r="AQ15" s="158"/>
      <c r="AR15" s="158"/>
      <c r="AS15" s="343"/>
      <c r="AT15" s="206"/>
      <c r="AU15" s="205"/>
      <c r="AV15" s="206"/>
      <c r="AW15" s="205"/>
      <c r="AX15" s="206"/>
      <c r="AY15" s="128"/>
      <c r="AZ15" s="129"/>
      <c r="BA15" s="129"/>
      <c r="BB15" s="129"/>
      <c r="BC15" s="125"/>
      <c r="BD15" s="126"/>
      <c r="BE15" s="127"/>
      <c r="BF15" s="127"/>
      <c r="BG15" s="199"/>
      <c r="BH15" s="158"/>
      <c r="BI15" s="158"/>
      <c r="BJ15" s="205"/>
      <c r="BK15" s="158"/>
      <c r="BL15" s="158"/>
      <c r="BM15" s="158"/>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991"/>
      <c r="EP15" s="991"/>
      <c r="EQ15" s="991"/>
      <c r="ER15" s="991"/>
      <c r="ES15" s="1001"/>
      <c r="ET15" s="1145"/>
      <c r="EU15" s="1145"/>
      <c r="EV15" s="1158"/>
      <c r="EW15" s="1158"/>
      <c r="EX15" s="158"/>
      <c r="EY15" s="158"/>
    </row>
    <row r="16" spans="1:155" ht="14.25" customHeight="1">
      <c r="A16" s="7" t="s">
        <v>404</v>
      </c>
      <c r="B16" s="21" t="s">
        <v>402</v>
      </c>
      <c r="C16" s="22" t="s">
        <v>3</v>
      </c>
      <c r="D16" s="23" t="s">
        <v>20</v>
      </c>
      <c r="E16" s="21" t="s">
        <v>20</v>
      </c>
      <c r="F16" s="21">
        <v>31</v>
      </c>
      <c r="G16" s="6"/>
      <c r="H16" s="24"/>
      <c r="I16" s="185"/>
      <c r="J16" s="186"/>
      <c r="K16" s="186"/>
      <c r="L16" s="186"/>
      <c r="M16" s="186"/>
      <c r="N16" s="186"/>
      <c r="O16" s="184"/>
      <c r="P16" s="186"/>
      <c r="Q16" s="186"/>
      <c r="R16" s="186"/>
      <c r="S16" s="186"/>
      <c r="T16" s="186"/>
      <c r="U16" s="186"/>
      <c r="V16" s="186"/>
      <c r="W16" s="186"/>
      <c r="X16" s="192"/>
      <c r="Y16" s="205"/>
      <c r="Z16" s="186"/>
      <c r="AA16" s="186"/>
      <c r="AB16" s="186"/>
      <c r="AC16" s="186"/>
      <c r="AD16" s="186"/>
      <c r="AE16" s="186"/>
      <c r="AF16" s="192"/>
      <c r="AG16" s="205"/>
      <c r="AH16" s="186"/>
      <c r="AI16" s="186"/>
      <c r="AJ16" s="206"/>
      <c r="AK16" s="185"/>
      <c r="AL16" s="186"/>
      <c r="AM16" s="186"/>
      <c r="AN16" s="192"/>
      <c r="AO16" s="262"/>
      <c r="AP16" s="158"/>
      <c r="AQ16" s="158"/>
      <c r="AR16" s="158"/>
      <c r="AS16" s="343"/>
      <c r="AT16" s="206"/>
      <c r="AU16" s="205"/>
      <c r="AV16" s="206"/>
      <c r="AW16" s="205"/>
      <c r="AX16" s="206"/>
      <c r="AY16" s="126"/>
      <c r="AZ16" s="127"/>
      <c r="BA16" s="127"/>
      <c r="BB16" s="127"/>
      <c r="BC16" s="125"/>
      <c r="BD16" s="126"/>
      <c r="BE16" s="127"/>
      <c r="BF16" s="127"/>
      <c r="BG16" s="199"/>
      <c r="BH16" s="158"/>
      <c r="BI16" s="158"/>
      <c r="BJ16" s="205"/>
      <c r="BK16" s="158"/>
      <c r="BL16" s="158"/>
      <c r="BM16" s="158"/>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c r="CO16" s="160"/>
      <c r="CP16" s="158"/>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991"/>
      <c r="EP16" s="991"/>
      <c r="EQ16" s="991"/>
      <c r="ER16" s="991"/>
      <c r="ES16" s="1001"/>
      <c r="ET16" s="1145"/>
      <c r="EU16" s="1145"/>
      <c r="EV16" s="1158"/>
      <c r="EW16" s="1158"/>
      <c r="EX16" s="158"/>
      <c r="EY16" s="158"/>
    </row>
    <row r="17" spans="1:155" ht="14.25" customHeight="1">
      <c r="A17" s="7" t="s">
        <v>143</v>
      </c>
      <c r="B17" s="21" t="s">
        <v>402</v>
      </c>
      <c r="C17" s="22" t="s">
        <v>3</v>
      </c>
      <c r="D17" s="23" t="s">
        <v>82</v>
      </c>
      <c r="E17" s="21" t="s">
        <v>82</v>
      </c>
      <c r="F17" s="21" t="s">
        <v>138</v>
      </c>
      <c r="G17" s="6"/>
      <c r="H17" s="24"/>
      <c r="I17" s="185"/>
      <c r="J17" s="186"/>
      <c r="K17" s="186"/>
      <c r="L17" s="186"/>
      <c r="M17" s="186"/>
      <c r="N17" s="186"/>
      <c r="O17" s="186"/>
      <c r="P17" s="186"/>
      <c r="Q17" s="186"/>
      <c r="R17" s="186"/>
      <c r="S17" s="186"/>
      <c r="T17" s="186"/>
      <c r="U17" s="186"/>
      <c r="V17" s="186"/>
      <c r="W17" s="186"/>
      <c r="X17" s="192"/>
      <c r="Y17" s="205"/>
      <c r="Z17" s="186"/>
      <c r="AA17" s="186"/>
      <c r="AB17" s="186"/>
      <c r="AC17" s="186"/>
      <c r="AD17" s="186"/>
      <c r="AE17" s="186"/>
      <c r="AF17" s="192"/>
      <c r="AG17" s="205"/>
      <c r="AH17" s="186"/>
      <c r="AI17" s="186"/>
      <c r="AJ17" s="206"/>
      <c r="AK17" s="185"/>
      <c r="AL17" s="186"/>
      <c r="AM17" s="186"/>
      <c r="AN17" s="192"/>
      <c r="AO17" s="262"/>
      <c r="AP17" s="158"/>
      <c r="AQ17" s="157"/>
      <c r="AR17" s="158"/>
      <c r="AS17" s="342"/>
      <c r="AT17" s="212"/>
      <c r="AU17" s="203"/>
      <c r="AV17" s="212"/>
      <c r="AW17" s="203"/>
      <c r="AX17" s="212"/>
      <c r="AY17" s="128"/>
      <c r="AZ17" s="129"/>
      <c r="BA17" s="129"/>
      <c r="BB17" s="129"/>
      <c r="BC17" s="125"/>
      <c r="BD17" s="126"/>
      <c r="BE17" s="127"/>
      <c r="BF17" s="127"/>
      <c r="BG17" s="199"/>
      <c r="BH17" s="158"/>
      <c r="BI17" s="158"/>
      <c r="BJ17" s="203"/>
      <c r="BK17" s="157"/>
      <c r="BL17" s="157"/>
      <c r="BM17" s="157"/>
      <c r="BN17" s="157"/>
      <c r="BO17" s="157"/>
      <c r="BP17" s="157"/>
      <c r="BQ17" s="157"/>
      <c r="BR17" s="157"/>
      <c r="BS17" s="157"/>
      <c r="BT17" s="157"/>
      <c r="BU17" s="157"/>
      <c r="BV17" s="157"/>
      <c r="BW17" s="157"/>
      <c r="BX17" s="157"/>
      <c r="BY17" s="177"/>
      <c r="BZ17" s="17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c r="EP17" s="323"/>
      <c r="EQ17" s="323"/>
      <c r="ER17" s="323"/>
      <c r="ES17" s="342"/>
      <c r="ET17" s="1145"/>
      <c r="EU17" s="1145"/>
      <c r="EV17" s="1158"/>
      <c r="EW17" s="1158"/>
      <c r="EX17" s="158"/>
      <c r="EY17" s="158"/>
    </row>
    <row r="18" spans="1:155" ht="14.25" customHeight="1" thickBot="1">
      <c r="A18" s="74" t="s">
        <v>0</v>
      </c>
      <c r="B18" s="75" t="s">
        <v>402</v>
      </c>
      <c r="C18" s="76" t="s">
        <v>4</v>
      </c>
      <c r="D18" s="77"/>
      <c r="E18" s="78"/>
      <c r="F18" s="78"/>
      <c r="G18" s="79"/>
      <c r="H18" s="80"/>
      <c r="I18" s="187">
        <f t="shared" ref="I18:AT18" si="4">SUBTOTAL(9,I14:I17)</f>
        <v>0</v>
      </c>
      <c r="J18" s="187">
        <f t="shared" si="4"/>
        <v>0</v>
      </c>
      <c r="K18" s="187">
        <f t="shared" si="4"/>
        <v>0</v>
      </c>
      <c r="L18" s="187">
        <f t="shared" si="4"/>
        <v>0</v>
      </c>
      <c r="M18" s="187">
        <f t="shared" si="4"/>
        <v>0</v>
      </c>
      <c r="N18" s="187">
        <f t="shared" si="4"/>
        <v>0</v>
      </c>
      <c r="O18" s="187">
        <f t="shared" si="4"/>
        <v>0</v>
      </c>
      <c r="P18" s="187">
        <f t="shared" si="4"/>
        <v>0</v>
      </c>
      <c r="Q18" s="187">
        <f t="shared" si="4"/>
        <v>0</v>
      </c>
      <c r="R18" s="187">
        <f t="shared" si="4"/>
        <v>0</v>
      </c>
      <c r="S18" s="187">
        <f t="shared" si="4"/>
        <v>0</v>
      </c>
      <c r="T18" s="187">
        <f t="shared" si="4"/>
        <v>0</v>
      </c>
      <c r="U18" s="187">
        <f t="shared" si="4"/>
        <v>0</v>
      </c>
      <c r="V18" s="187">
        <f t="shared" si="4"/>
        <v>0</v>
      </c>
      <c r="W18" s="187">
        <f t="shared" si="4"/>
        <v>0</v>
      </c>
      <c r="X18" s="187">
        <f t="shared" si="4"/>
        <v>0</v>
      </c>
      <c r="Y18" s="187">
        <f t="shared" si="4"/>
        <v>0</v>
      </c>
      <c r="Z18" s="187">
        <f t="shared" si="4"/>
        <v>0</v>
      </c>
      <c r="AA18" s="187">
        <f t="shared" si="4"/>
        <v>0</v>
      </c>
      <c r="AB18" s="187">
        <f t="shared" si="4"/>
        <v>0</v>
      </c>
      <c r="AC18" s="187">
        <f t="shared" si="4"/>
        <v>0</v>
      </c>
      <c r="AD18" s="187">
        <f t="shared" si="4"/>
        <v>0</v>
      </c>
      <c r="AE18" s="187">
        <f t="shared" si="4"/>
        <v>0</v>
      </c>
      <c r="AF18" s="187">
        <f t="shared" si="4"/>
        <v>0</v>
      </c>
      <c r="AG18" s="187">
        <f t="shared" si="4"/>
        <v>0</v>
      </c>
      <c r="AH18" s="187">
        <f t="shared" si="4"/>
        <v>0</v>
      </c>
      <c r="AI18" s="187">
        <f t="shared" si="4"/>
        <v>0</v>
      </c>
      <c r="AJ18" s="187">
        <f t="shared" si="4"/>
        <v>0</v>
      </c>
      <c r="AK18" s="187">
        <f t="shared" si="4"/>
        <v>0</v>
      </c>
      <c r="AL18" s="187">
        <f t="shared" si="4"/>
        <v>0</v>
      </c>
      <c r="AM18" s="187">
        <f t="shared" si="4"/>
        <v>0</v>
      </c>
      <c r="AN18" s="187">
        <f t="shared" si="4"/>
        <v>0</v>
      </c>
      <c r="AO18" s="187">
        <f t="shared" si="4"/>
        <v>0</v>
      </c>
      <c r="AP18" s="187">
        <f t="shared" si="4"/>
        <v>0</v>
      </c>
      <c r="AQ18" s="187">
        <f t="shared" si="4"/>
        <v>0</v>
      </c>
      <c r="AR18" s="187">
        <f t="shared" si="4"/>
        <v>0</v>
      </c>
      <c r="AS18" s="187">
        <f t="shared" si="4"/>
        <v>0</v>
      </c>
      <c r="AT18" s="187">
        <f t="shared" si="4"/>
        <v>0</v>
      </c>
      <c r="AU18" s="207"/>
      <c r="AV18" s="132"/>
      <c r="AW18" s="207"/>
      <c r="AX18" s="132"/>
      <c r="AY18" s="187">
        <f>SUBTOTAL(9,AY14:AY17)</f>
        <v>0</v>
      </c>
      <c r="AZ18" s="187">
        <f>SUBTOTAL(9,AZ14:AZ17)</f>
        <v>0</v>
      </c>
      <c r="BA18" s="187">
        <f>SUBTOTAL(9,BA14:BA17)</f>
        <v>0</v>
      </c>
      <c r="BB18" s="187">
        <f>SUBTOTAL(9,BB14:BB17)</f>
        <v>0</v>
      </c>
      <c r="BC18" s="187">
        <f>SUBTOTAL(9,BC14:BC17)</f>
        <v>0</v>
      </c>
      <c r="BD18" s="208" t="str">
        <f>IF(ISNUMBER(BA18/AZ18),BA18/AZ18," - ")</f>
        <v xml:space="preserve"> - </v>
      </c>
      <c r="BE18" s="209" t="str">
        <f>IF(ISNUMBER(BB18/BA18),BB18/BA18, " - ")</f>
        <v xml:space="preserve"> - </v>
      </c>
      <c r="BF18" s="209" t="str">
        <f>IF(ISNUMBER(BC18/BA18),BC18/BA18, " - ")</f>
        <v xml:space="preserve"> - </v>
      </c>
      <c r="BG18" s="210" t="str">
        <f>IF(ISNUMBER((AY18+AZ18)/BA18),(AY18+AZ18)/BA18," - ")</f>
        <v xml:space="preserve"> - </v>
      </c>
      <c r="BH18" s="187">
        <f>SUBTOTAL(9,BH14:BH17)</f>
        <v>0</v>
      </c>
      <c r="BI18" s="187">
        <f>SUBTOTAL(9,BI14:BI17)</f>
        <v>0</v>
      </c>
      <c r="BJ18" s="187">
        <f>SUBTOTAL(9,BJ14:BJ17)</f>
        <v>0</v>
      </c>
      <c r="BK18" s="187">
        <f>SUBTOTAL(9,BK14:BK17)</f>
        <v>0</v>
      </c>
      <c r="BL18" s="187">
        <f>SUBTOTAL(9,BL14:BL17)</f>
        <v>0</v>
      </c>
      <c r="BM18" s="143" t="e">
        <f>AVERAGE(BM15:BM17)</f>
        <v>#DIV/0!</v>
      </c>
      <c r="BN18" s="154"/>
      <c r="BO18" s="154"/>
      <c r="BP18" s="154"/>
      <c r="BQ18" s="154"/>
      <c r="BR18" s="154"/>
      <c r="BS18" s="154"/>
      <c r="BT18" s="154"/>
      <c r="BU18" s="154"/>
      <c r="BV18" s="187"/>
      <c r="BW18" s="187"/>
      <c r="BX18" s="187"/>
      <c r="BY18" s="154"/>
      <c r="BZ18" s="154"/>
      <c r="CA18" s="187">
        <f t="shared" ref="CA18:CL18" si="5">SUBTOTAL(9,CA14:CA17)</f>
        <v>0</v>
      </c>
      <c r="CB18" s="187">
        <f t="shared" si="5"/>
        <v>0</v>
      </c>
      <c r="CC18" s="187">
        <f t="shared" si="5"/>
        <v>0</v>
      </c>
      <c r="CD18" s="187">
        <f t="shared" si="5"/>
        <v>0</v>
      </c>
      <c r="CE18" s="187">
        <f t="shared" si="5"/>
        <v>0</v>
      </c>
      <c r="CF18" s="187">
        <f t="shared" si="5"/>
        <v>0</v>
      </c>
      <c r="CG18" s="187">
        <f t="shared" si="5"/>
        <v>0</v>
      </c>
      <c r="CH18" s="187">
        <f t="shared" si="5"/>
        <v>0</v>
      </c>
      <c r="CI18" s="187">
        <f t="shared" si="5"/>
        <v>0</v>
      </c>
      <c r="CJ18" s="187">
        <f t="shared" si="5"/>
        <v>0</v>
      </c>
      <c r="CK18" s="187">
        <f t="shared" si="5"/>
        <v>0</v>
      </c>
      <c r="CL18" s="187">
        <f t="shared" si="5"/>
        <v>0</v>
      </c>
      <c r="CM18" s="299"/>
      <c r="CN18" s="154"/>
      <c r="CO18" s="154"/>
      <c r="CP18" s="154"/>
      <c r="CQ18" s="154"/>
      <c r="CR18" s="154"/>
      <c r="CS18" s="154"/>
      <c r="CT18" s="154"/>
      <c r="CU18" s="154"/>
      <c r="CV18" s="187">
        <f>SUBTOTAL(9,CV15:CV17)</f>
        <v>0</v>
      </c>
      <c r="CW18" s="187">
        <f>SUBTOTAL(9,CW15:CW17)</f>
        <v>0</v>
      </c>
      <c r="CX18" s="187"/>
      <c r="CY18" s="187">
        <f t="shared" ref="CY18:ER18" si="6">SUBTOTAL(9,CY15:CY17)</f>
        <v>0</v>
      </c>
      <c r="CZ18" s="187">
        <f t="shared" si="6"/>
        <v>0</v>
      </c>
      <c r="DA18" s="187">
        <f t="shared" si="6"/>
        <v>0</v>
      </c>
      <c r="DB18" s="187">
        <f t="shared" si="6"/>
        <v>0</v>
      </c>
      <c r="DC18" s="187">
        <f t="shared" si="6"/>
        <v>0</v>
      </c>
      <c r="DD18" s="187">
        <f t="shared" si="6"/>
        <v>0</v>
      </c>
      <c r="DE18" s="187">
        <f t="shared" si="6"/>
        <v>0</v>
      </c>
      <c r="DF18" s="187">
        <f t="shared" si="6"/>
        <v>0</v>
      </c>
      <c r="DG18" s="187">
        <f t="shared" si="6"/>
        <v>0</v>
      </c>
      <c r="DH18" s="187">
        <f t="shared" si="6"/>
        <v>0</v>
      </c>
      <c r="DI18" s="187">
        <f t="shared" si="6"/>
        <v>0</v>
      </c>
      <c r="DJ18" s="187">
        <f t="shared" si="6"/>
        <v>0</v>
      </c>
      <c r="DK18" s="187">
        <f t="shared" si="6"/>
        <v>0</v>
      </c>
      <c r="DL18" s="187">
        <f t="shared" si="6"/>
        <v>0</v>
      </c>
      <c r="DM18" s="187">
        <f t="shared" si="6"/>
        <v>0</v>
      </c>
      <c r="DN18" s="187">
        <f t="shared" si="6"/>
        <v>0</v>
      </c>
      <c r="DO18" s="187">
        <f t="shared" si="6"/>
        <v>0</v>
      </c>
      <c r="DP18" s="187">
        <f t="shared" si="6"/>
        <v>0</v>
      </c>
      <c r="DQ18" s="187">
        <f t="shared" si="6"/>
        <v>0</v>
      </c>
      <c r="DR18" s="187">
        <f t="shared" si="6"/>
        <v>0</v>
      </c>
      <c r="DS18" s="187">
        <f t="shared" si="6"/>
        <v>0</v>
      </c>
      <c r="DT18" s="187">
        <f t="shared" si="6"/>
        <v>0</v>
      </c>
      <c r="DU18" s="187">
        <f t="shared" si="6"/>
        <v>0</v>
      </c>
      <c r="DV18" s="641">
        <f t="shared" si="6"/>
        <v>0</v>
      </c>
      <c r="DW18" s="641">
        <f t="shared" si="6"/>
        <v>0</v>
      </c>
      <c r="DX18" s="641">
        <f t="shared" si="6"/>
        <v>0</v>
      </c>
      <c r="DY18" s="641">
        <f t="shared" si="6"/>
        <v>0</v>
      </c>
      <c r="DZ18" s="187">
        <f t="shared" si="6"/>
        <v>0</v>
      </c>
      <c r="EA18" s="187">
        <f t="shared" si="6"/>
        <v>0</v>
      </c>
      <c r="EB18" s="187">
        <f t="shared" si="6"/>
        <v>0</v>
      </c>
      <c r="EC18" s="187">
        <f t="shared" si="6"/>
        <v>0</v>
      </c>
      <c r="ED18" s="187">
        <f t="shared" si="6"/>
        <v>0</v>
      </c>
      <c r="EE18" s="187">
        <f t="shared" si="6"/>
        <v>0</v>
      </c>
      <c r="EF18" s="187">
        <f t="shared" si="6"/>
        <v>0</v>
      </c>
      <c r="EG18" s="187">
        <f t="shared" si="6"/>
        <v>0</v>
      </c>
      <c r="EH18" s="187">
        <f t="shared" si="6"/>
        <v>0</v>
      </c>
      <c r="EI18" s="187">
        <f t="shared" si="6"/>
        <v>0</v>
      </c>
      <c r="EJ18" s="187">
        <f t="shared" si="6"/>
        <v>0</v>
      </c>
      <c r="EK18" s="187">
        <f t="shared" si="6"/>
        <v>0</v>
      </c>
      <c r="EL18" s="187">
        <f t="shared" si="6"/>
        <v>0</v>
      </c>
      <c r="EM18" s="187">
        <f t="shared" si="6"/>
        <v>0</v>
      </c>
      <c r="EN18" s="187">
        <f t="shared" si="6"/>
        <v>0</v>
      </c>
      <c r="EO18" s="187">
        <f t="shared" si="6"/>
        <v>0</v>
      </c>
      <c r="EP18" s="187">
        <f t="shared" si="6"/>
        <v>0</v>
      </c>
      <c r="EQ18" s="187">
        <f t="shared" si="6"/>
        <v>0</v>
      </c>
      <c r="ER18" s="187">
        <f t="shared" si="6"/>
        <v>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3">
        <f t="shared" si="7"/>
        <v>0</v>
      </c>
      <c r="AO19" s="214">
        <f t="shared" si="7"/>
        <v>0</v>
      </c>
      <c r="AP19" s="214">
        <f t="shared" si="7"/>
        <v>0</v>
      </c>
      <c r="AQ19" s="214">
        <f t="shared" si="7"/>
        <v>0</v>
      </c>
      <c r="AR19" s="214">
        <f t="shared" si="7"/>
        <v>0</v>
      </c>
      <c r="AS19" s="156">
        <f t="shared" si="7"/>
        <v>0</v>
      </c>
      <c r="AT19" s="156">
        <f t="shared" si="7"/>
        <v>0</v>
      </c>
      <c r="AU19" s="214"/>
      <c r="AV19" s="215"/>
      <c r="AW19" s="214"/>
      <c r="AX19" s="215"/>
      <c r="AY19" s="133">
        <f>SUBTOTAL(9,AY9:AY18)</f>
        <v>0</v>
      </c>
      <c r="AZ19" s="134">
        <f>SUBTOTAL(9,AZ9:AZ18)</f>
        <v>0</v>
      </c>
      <c r="BA19" s="134">
        <f>SUBTOTAL(9,BA9:BA18)</f>
        <v>0</v>
      </c>
      <c r="BB19" s="134">
        <f>SUBTOTAL(9,BB9:BB18)</f>
        <v>0</v>
      </c>
      <c r="BC19" s="135">
        <f>SUBTOTAL(9,BC9:BC18)</f>
        <v>0</v>
      </c>
      <c r="BD19" s="216" t="str">
        <f>IF(ISNUMBER(BA19/AZ19),BA19/AZ19," - ")</f>
        <v xml:space="preserve"> - </v>
      </c>
      <c r="BE19" s="213" t="str">
        <f>IF(ISNUMBER(BB19/BA19),BB19/BA19, " - ")</f>
        <v xml:space="preserve"> - </v>
      </c>
      <c r="BF19" s="213" t="str">
        <f>IF(ISNUMBER(BC19/BA19),BC19/BA19, " - ")</f>
        <v xml:space="preserve"> - </v>
      </c>
      <c r="BG19" s="135" t="str">
        <f>IF(ISNUMBER((AY19+AZ19)/BA19),(AY19+AZ19)/BA19," - ")</f>
        <v xml:space="preserve"> - </v>
      </c>
      <c r="BH19" s="214">
        <f>SUBTOTAL(9,BH9:BH18)</f>
        <v>0</v>
      </c>
      <c r="BI19" s="214">
        <f>SUBTOTAL(9,BI9:BI18)</f>
        <v>0</v>
      </c>
      <c r="BJ19" s="214"/>
      <c r="BK19" s="214">
        <f>SUBTOTAL(9,BK9:BK18)</f>
        <v>0</v>
      </c>
      <c r="BL19" s="214"/>
      <c r="BM19" s="214" t="e">
        <f>AVERAGE(BM9:BM18)</f>
        <v>#DIV/0!</v>
      </c>
      <c r="BN19" s="214">
        <f t="shared" ref="BN19:BS19" si="8">SUBTOTAL(9,BN9:BN18)</f>
        <v>0</v>
      </c>
      <c r="BO19" s="214">
        <f t="shared" si="8"/>
        <v>0</v>
      </c>
      <c r="BP19" s="214">
        <f t="shared" si="8"/>
        <v>0</v>
      </c>
      <c r="BQ19" s="214">
        <f t="shared" si="8"/>
        <v>0</v>
      </c>
      <c r="BR19" s="214">
        <f t="shared" si="8"/>
        <v>0</v>
      </c>
      <c r="BS19" s="214">
        <f t="shared" si="8"/>
        <v>0</v>
      </c>
      <c r="BT19" s="214" t="e">
        <f>AVERAGE(BT9:BT18)</f>
        <v>#DIV/0!</v>
      </c>
      <c r="BU19" s="214" t="e">
        <f>AVERAGE(BU9:BU18)</f>
        <v>#DIV/0!</v>
      </c>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t="e">
        <f>SUBTOTAL(9,CN9:CN18)</f>
        <v>#DIV/0!</v>
      </c>
      <c r="CO19" s="214">
        <f>SUBTOTAL(9,CO9:CO18)</f>
        <v>0</v>
      </c>
      <c r="CP19" s="214">
        <f>SUBTOTAL(9,CP9:CP18)</f>
        <v>0</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R19" si="9">SUBTOTAL(9,DM9:DM18)</f>
        <v>0</v>
      </c>
      <c r="DN19" s="156">
        <f t="shared" si="9"/>
        <v>0</v>
      </c>
      <c r="DO19" s="156">
        <f t="shared" si="9"/>
        <v>0</v>
      </c>
      <c r="DP19" s="156">
        <f t="shared" si="9"/>
        <v>0</v>
      </c>
      <c r="DQ19" s="156">
        <f t="shared" si="9"/>
        <v>0</v>
      </c>
      <c r="DR19" s="156">
        <f t="shared" si="9"/>
        <v>0</v>
      </c>
      <c r="DS19" s="156">
        <f t="shared" si="9"/>
        <v>0</v>
      </c>
      <c r="DT19" s="156">
        <f t="shared" si="9"/>
        <v>0</v>
      </c>
      <c r="DU19" s="156">
        <f t="shared" si="9"/>
        <v>0</v>
      </c>
      <c r="DV19" s="156">
        <f t="shared" si="9"/>
        <v>0</v>
      </c>
      <c r="DW19" s="156">
        <f t="shared" si="9"/>
        <v>0</v>
      </c>
      <c r="DX19" s="156">
        <f t="shared" si="9"/>
        <v>0</v>
      </c>
      <c r="DY19" s="156">
        <f t="shared" si="9"/>
        <v>0</v>
      </c>
      <c r="DZ19" s="156">
        <f t="shared" si="9"/>
        <v>0</v>
      </c>
      <c r="EA19" s="156">
        <f t="shared" si="9"/>
        <v>0</v>
      </c>
      <c r="EB19" s="156">
        <f t="shared" si="9"/>
        <v>0</v>
      </c>
      <c r="EC19" s="156">
        <f t="shared" si="9"/>
        <v>0</v>
      </c>
      <c r="ED19" s="156">
        <f t="shared" si="9"/>
        <v>0</v>
      </c>
      <c r="EE19" s="156">
        <f t="shared" si="9"/>
        <v>0</v>
      </c>
      <c r="EF19" s="156">
        <f t="shared" si="9"/>
        <v>0</v>
      </c>
      <c r="EG19" s="156">
        <f t="shared" si="9"/>
        <v>0</v>
      </c>
      <c r="EH19" s="156">
        <f t="shared" si="9"/>
        <v>0</v>
      </c>
      <c r="EI19" s="156">
        <f t="shared" si="9"/>
        <v>0</v>
      </c>
      <c r="EJ19" s="156">
        <f t="shared" si="9"/>
        <v>0</v>
      </c>
      <c r="EK19" s="156">
        <f t="shared" si="9"/>
        <v>0</v>
      </c>
      <c r="EL19" s="156">
        <f t="shared" si="9"/>
        <v>0</v>
      </c>
      <c r="EM19" s="156">
        <f t="shared" si="9"/>
        <v>0</v>
      </c>
      <c r="EN19" s="156">
        <f t="shared" si="9"/>
        <v>0</v>
      </c>
      <c r="EO19" s="156">
        <f t="shared" si="9"/>
        <v>0</v>
      </c>
      <c r="EP19" s="156">
        <f t="shared" si="9"/>
        <v>0</v>
      </c>
      <c r="EQ19" s="156">
        <f t="shared" si="9"/>
        <v>0</v>
      </c>
      <c r="ER19" s="156">
        <f t="shared" si="9"/>
        <v>0</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R20l78vDtxHEBpNxOS49qUfovzdepOA5rcpJjxl3V4C6XltNXRj8+xtrIg2NjsjGSeZ5b0Yzzir32Tj66E4emA==" saltValue="Yjeflenw7CgrmUIKsLQtC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28515625" style="648" customWidth="1"/>
    <col min="9" max="9" width="14" style="648" customWidth="1"/>
    <col min="10" max="10" width="14.42578125" style="649" customWidth="1"/>
    <col min="11" max="12" width="14.28515625" style="648" customWidth="1"/>
    <col min="13" max="14" width="14.28515625" style="650" customWidth="1"/>
    <col min="15" max="15" width="14.7109375" style="648" customWidth="1"/>
    <col min="16" max="16" width="14.28515625" style="648" customWidth="1"/>
    <col min="17" max="18" width="14.28515625" style="651" customWidth="1"/>
    <col min="19" max="19" width="14.28515625" style="648" customWidth="1"/>
    <col min="20" max="20" width="14.28515625" style="651" customWidth="1"/>
    <col min="21" max="21" width="13.7109375" customWidth="1"/>
    <col min="22" max="22" width="13" style="1007" customWidth="1"/>
    <col min="23" max="23" width="12.85546875" style="648" customWidth="1"/>
    <col min="24" max="24" width="14.28515625" style="651" customWidth="1"/>
    <col min="25" max="25" width="14.85546875" style="648" customWidth="1"/>
    <col min="26" max="26" width="16.28515625" style="648" customWidth="1"/>
    <col min="27" max="27" width="14.28515625" style="648" customWidth="1"/>
    <col min="28" max="28" width="16.28515625" style="648" customWidth="1"/>
    <col min="29" max="29" width="12.5703125" style="648" customWidth="1"/>
    <col min="30" max="36" width="13" style="648" customWidth="1"/>
    <col min="37" max="38" width="12.85546875" style="648" customWidth="1"/>
    <col min="39" max="40" width="11.42578125" style="648"/>
    <col min="41" max="41" width="12.42578125" style="648" customWidth="1"/>
    <col min="42" max="42" width="12.28515625" style="648" customWidth="1"/>
    <col min="43" max="43" width="12.42578125" style="648" customWidth="1"/>
    <col min="44" max="44" width="16.140625" style="651" customWidth="1"/>
    <col min="45" max="46" width="14.5703125" style="648" customWidth="1"/>
    <col min="47" max="48" width="14.5703125" style="650" customWidth="1"/>
    <col min="49" max="52" width="13.42578125" style="648" customWidth="1"/>
    <col min="53" max="53" width="13.42578125" style="474" customWidth="1"/>
    <col min="54" max="55" width="14.85546875" style="648" customWidth="1"/>
    <col min="56" max="56" width="11.5703125" customWidth="1"/>
    <col min="57" max="57" width="11.42578125" style="648" customWidth="1"/>
    <col min="58" max="74" width="11.42578125" style="648"/>
    <col min="75" max="75" width="14.85546875" style="474" hidden="1" customWidth="1"/>
    <col min="76" max="16384" width="11.42578125" style="648"/>
  </cols>
  <sheetData>
    <row r="1" spans="1:75">
      <c r="C1" s="647" t="str">
        <f>Criterios!A9 &amp;"  "&amp;Criterios!B9</f>
        <v>Tribunales de Justicia  ASTURIAS</v>
      </c>
    </row>
    <row r="2" spans="1:75" ht="16.5" customHeight="1">
      <c r="C2" s="491" t="str">
        <f>Criterios!A10 &amp;"  "&amp;Criterios!B10 &amp; "  " &amp; IF(NOT(ISBLANK(Criterios!A11)),Criterios!A11 &amp;"  "&amp;Criterios!B11,"")</f>
        <v>Provincias  ASTURIAS  Resumenes por Partidos Judiciales  LENA</v>
      </c>
      <c r="D2" s="647"/>
      <c r="E2" s="652"/>
      <c r="F2" s="652"/>
      <c r="G2" s="653"/>
      <c r="I2" s="652"/>
      <c r="J2" s="654"/>
      <c r="K2" s="652"/>
      <c r="L2" s="652"/>
      <c r="M2" s="655"/>
      <c r="N2" s="655"/>
      <c r="O2" s="652"/>
      <c r="S2" s="652"/>
      <c r="T2" s="656"/>
    </row>
    <row r="3" spans="1:75" ht="21.75" customHeight="1">
      <c r="C3" s="657"/>
      <c r="D3" s="658"/>
      <c r="G3" s="653"/>
      <c r="I3" s="652"/>
    </row>
    <row r="4" spans="1:75" ht="16.5" customHeight="1" thickBot="1">
      <c r="C4" s="616"/>
      <c r="D4" s="659"/>
      <c r="E4" s="660"/>
      <c r="F4" s="660"/>
      <c r="G4" s="660"/>
      <c r="H4" s="660"/>
      <c r="I4" s="660"/>
      <c r="J4" s="661"/>
      <c r="K4" s="660"/>
      <c r="L4" s="660"/>
      <c r="M4" s="655"/>
      <c r="N4" s="660"/>
      <c r="O4" s="660"/>
      <c r="P4" s="660"/>
      <c r="Q4" s="656"/>
      <c r="R4" s="656"/>
      <c r="S4" s="660"/>
      <c r="T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498"/>
      <c r="BB4" s="660"/>
      <c r="BC4" s="660"/>
      <c r="BW4" s="498"/>
    </row>
    <row r="5" spans="1:75" ht="15.75" customHeight="1">
      <c r="A5" s="1276" t="s">
        <v>351</v>
      </c>
      <c r="B5" s="275"/>
      <c r="C5" s="1276" t="str">
        <f>"Año:  " &amp;Criterios!B$5 &amp; "          Trimestre   " &amp;Criterios!D$5 &amp; " al " &amp;Criterios!D$6</f>
        <v>Año:  2023          Trimestre   1 al 4</v>
      </c>
      <c r="D5" s="1483" t="s">
        <v>376</v>
      </c>
      <c r="E5" s="1483" t="s">
        <v>560</v>
      </c>
      <c r="F5" s="1512" t="s">
        <v>406</v>
      </c>
      <c r="G5" s="1483" t="s">
        <v>128</v>
      </c>
      <c r="H5" s="1483" t="s">
        <v>590</v>
      </c>
      <c r="I5" s="1483" t="s">
        <v>561</v>
      </c>
      <c r="J5" s="1483" t="s">
        <v>664</v>
      </c>
      <c r="K5" s="1483" t="s">
        <v>562</v>
      </c>
      <c r="L5" s="1483" t="s">
        <v>530</v>
      </c>
      <c r="M5" s="1515" t="s">
        <v>588</v>
      </c>
      <c r="N5" s="1483" t="s">
        <v>719</v>
      </c>
      <c r="O5" s="1483" t="s">
        <v>679</v>
      </c>
      <c r="P5" s="1483" t="s">
        <v>168</v>
      </c>
      <c r="Q5" s="1518" t="s">
        <v>676</v>
      </c>
      <c r="R5" s="1518" t="s">
        <v>720</v>
      </c>
      <c r="S5" s="1483" t="s">
        <v>591</v>
      </c>
      <c r="T5" s="1518" t="s">
        <v>563</v>
      </c>
      <c r="U5" s="1518" t="s">
        <v>771</v>
      </c>
      <c r="V5" s="1518" t="s">
        <v>772</v>
      </c>
      <c r="W5" s="1501" t="s">
        <v>613</v>
      </c>
      <c r="X5" s="1504" t="s">
        <v>564</v>
      </c>
      <c r="Y5" s="1501" t="s">
        <v>565</v>
      </c>
      <c r="Z5" s="1501" t="s">
        <v>566</v>
      </c>
      <c r="AA5" s="1483" t="s">
        <v>680</v>
      </c>
      <c r="AB5" s="1483" t="s">
        <v>685</v>
      </c>
      <c r="AC5" s="1483" t="s">
        <v>182</v>
      </c>
      <c r="AD5" s="1489" t="s">
        <v>180</v>
      </c>
      <c r="AE5" s="1483" t="s">
        <v>681</v>
      </c>
      <c r="AF5" s="1492" t="s">
        <v>682</v>
      </c>
      <c r="AG5" s="1495" t="s">
        <v>539</v>
      </c>
      <c r="AH5" s="1483" t="s">
        <v>540</v>
      </c>
      <c r="AI5" s="1483" t="s">
        <v>611</v>
      </c>
      <c r="AJ5" s="1498" t="s">
        <v>612</v>
      </c>
      <c r="AK5" s="1495" t="s">
        <v>183</v>
      </c>
      <c r="AL5" s="1483" t="s">
        <v>570</v>
      </c>
      <c r="AM5" s="1483" t="s">
        <v>247</v>
      </c>
      <c r="AN5" s="1483" t="s">
        <v>248</v>
      </c>
      <c r="AO5" s="1483" t="s">
        <v>249</v>
      </c>
      <c r="AP5" s="1483" t="s">
        <v>571</v>
      </c>
      <c r="AQ5" s="1483" t="s">
        <v>250</v>
      </c>
      <c r="AR5" s="1483" t="s">
        <v>572</v>
      </c>
      <c r="AS5" s="1483" t="s">
        <v>573</v>
      </c>
      <c r="AT5" s="1483" t="s">
        <v>574</v>
      </c>
      <c r="AU5" s="1483" t="s">
        <v>599</v>
      </c>
      <c r="AV5" s="1483" t="s">
        <v>592</v>
      </c>
      <c r="AW5" s="1483" t="s">
        <v>839</v>
      </c>
      <c r="AX5" s="1483" t="s">
        <v>842</v>
      </c>
      <c r="AY5" s="1483" t="s">
        <v>844</v>
      </c>
      <c r="AZ5" s="1483" t="s">
        <v>593</v>
      </c>
      <c r="BA5" s="1483" t="s">
        <v>865</v>
      </c>
      <c r="BB5" s="1483" t="s">
        <v>575</v>
      </c>
      <c r="BC5" s="1483" t="s">
        <v>538</v>
      </c>
      <c r="BW5" s="1483" t="s">
        <v>773</v>
      </c>
    </row>
    <row r="6" spans="1:75" ht="21.75" customHeight="1">
      <c r="A6" s="1534"/>
      <c r="B6" s="662"/>
      <c r="C6" s="1536"/>
      <c r="D6" s="1484"/>
      <c r="E6" s="1484"/>
      <c r="F6" s="1513"/>
      <c r="G6" s="1484"/>
      <c r="H6" s="1484"/>
      <c r="I6" s="1484"/>
      <c r="J6" s="1484"/>
      <c r="K6" s="1484"/>
      <c r="L6" s="1484"/>
      <c r="M6" s="1516"/>
      <c r="N6" s="1484"/>
      <c r="O6" s="1484"/>
      <c r="P6" s="1484"/>
      <c r="Q6" s="1519"/>
      <c r="R6" s="1519"/>
      <c r="S6" s="1484"/>
      <c r="T6" s="1519"/>
      <c r="U6" s="1519"/>
      <c r="V6" s="1519"/>
      <c r="W6" s="1502"/>
      <c r="X6" s="1505"/>
      <c r="Y6" s="1502"/>
      <c r="Z6" s="1502"/>
      <c r="AA6" s="1484"/>
      <c r="AB6" s="1484"/>
      <c r="AC6" s="1484"/>
      <c r="AD6" s="1490"/>
      <c r="AE6" s="1484"/>
      <c r="AF6" s="1493"/>
      <c r="AG6" s="1496"/>
      <c r="AH6" s="1484"/>
      <c r="AI6" s="1484"/>
      <c r="AJ6" s="1499"/>
      <c r="AK6" s="1496"/>
      <c r="AL6" s="1484"/>
      <c r="AM6" s="1484"/>
      <c r="AN6" s="1484"/>
      <c r="AO6" s="1484"/>
      <c r="AP6" s="1484"/>
      <c r="AQ6" s="1484"/>
      <c r="AR6" s="1484"/>
      <c r="AS6" s="1484"/>
      <c r="AT6" s="1484"/>
      <c r="AU6" s="1484"/>
      <c r="AV6" s="1484"/>
      <c r="AW6" s="1484"/>
      <c r="AX6" s="1484"/>
      <c r="AY6" s="1484"/>
      <c r="AZ6" s="1484"/>
      <c r="BA6" s="1484"/>
      <c r="BB6" s="1484"/>
      <c r="BC6" s="1484"/>
      <c r="BW6" s="1484"/>
    </row>
    <row r="7" spans="1:75" ht="38.25" customHeight="1" thickBot="1">
      <c r="A7" s="1535"/>
      <c r="B7" s="663"/>
      <c r="C7" s="664" t="str">
        <f>DatosP!A7</f>
        <v>COMPETENCIAS</v>
      </c>
      <c r="D7" s="1485"/>
      <c r="E7" s="1485"/>
      <c r="F7" s="1514"/>
      <c r="G7" s="1485"/>
      <c r="H7" s="1485"/>
      <c r="I7" s="1485"/>
      <c r="J7" s="1485"/>
      <c r="K7" s="1485"/>
      <c r="L7" s="1485"/>
      <c r="M7" s="1517"/>
      <c r="N7" s="1485"/>
      <c r="O7" s="1485"/>
      <c r="P7" s="1485"/>
      <c r="Q7" s="1520"/>
      <c r="R7" s="1520"/>
      <c r="S7" s="1485"/>
      <c r="T7" s="1520"/>
      <c r="U7" s="1520"/>
      <c r="V7" s="1520"/>
      <c r="W7" s="1503"/>
      <c r="X7" s="1506"/>
      <c r="Y7" s="1503"/>
      <c r="Z7" s="1503"/>
      <c r="AA7" s="1485"/>
      <c r="AB7" s="1485"/>
      <c r="AC7" s="1485"/>
      <c r="AD7" s="1491"/>
      <c r="AE7" s="1485"/>
      <c r="AF7" s="1494"/>
      <c r="AG7" s="1497"/>
      <c r="AH7" s="1485"/>
      <c r="AI7" s="1485"/>
      <c r="AJ7" s="1500"/>
      <c r="AK7" s="1497"/>
      <c r="AL7" s="1485"/>
      <c r="AM7" s="1485"/>
      <c r="AN7" s="1485"/>
      <c r="AO7" s="1485"/>
      <c r="AP7" s="1485"/>
      <c r="AQ7" s="1485"/>
      <c r="AR7" s="1485"/>
      <c r="AS7" s="1485"/>
      <c r="AT7" s="1485"/>
      <c r="AU7" s="1485"/>
      <c r="AV7" s="1485"/>
      <c r="AW7" s="1485"/>
      <c r="AX7" s="1485"/>
      <c r="AY7" s="1485"/>
      <c r="AZ7" s="1485"/>
      <c r="BA7" s="1485"/>
      <c r="BB7" s="1485"/>
      <c r="BC7" s="1485"/>
      <c r="BW7" s="1485"/>
    </row>
    <row r="8" spans="1:75" ht="15" thickTop="1">
      <c r="A8" s="665"/>
      <c r="B8" s="665"/>
      <c r="C8" s="164" t="str">
        <f>DatosP!A8</f>
        <v>Jurisdicción Civil ( 1 ):</v>
      </c>
      <c r="D8" s="666"/>
      <c r="E8" s="666"/>
      <c r="F8" s="667"/>
      <c r="G8" s="667"/>
      <c r="H8" s="668"/>
      <c r="I8" s="667"/>
      <c r="J8" s="668"/>
      <c r="K8" s="668"/>
      <c r="L8" s="668"/>
      <c r="M8" s="669"/>
      <c r="N8" s="669"/>
      <c r="O8" s="668"/>
      <c r="P8" s="668"/>
      <c r="Q8" s="670"/>
      <c r="R8" s="670"/>
      <c r="S8" s="668"/>
      <c r="T8" s="670"/>
      <c r="U8" s="302"/>
      <c r="V8" s="1008"/>
      <c r="W8" s="671"/>
      <c r="X8" s="672"/>
      <c r="Y8" s="667"/>
      <c r="Z8" s="668"/>
      <c r="AA8" s="667"/>
      <c r="AB8" s="668"/>
      <c r="AC8" s="673"/>
      <c r="AD8" s="667"/>
      <c r="AE8" s="668"/>
      <c r="AF8" s="674"/>
      <c r="AG8" s="675"/>
      <c r="AH8" s="676"/>
      <c r="AI8" s="675"/>
      <c r="AJ8" s="676"/>
      <c r="AK8" s="667"/>
      <c r="AL8" s="668"/>
      <c r="AM8" s="677"/>
      <c r="AN8" s="678"/>
      <c r="AO8" s="671"/>
      <c r="AP8" s="780"/>
      <c r="AQ8" s="671"/>
      <c r="AR8" s="679"/>
      <c r="AS8" s="679"/>
      <c r="AT8" s="680"/>
      <c r="AU8" s="681"/>
      <c r="AV8" s="681"/>
      <c r="AW8" s="679"/>
      <c r="AX8" s="679"/>
      <c r="AY8" s="679"/>
      <c r="AZ8" s="679"/>
      <c r="BA8" s="227"/>
      <c r="BB8" s="682"/>
      <c r="BC8" s="683"/>
      <c r="BW8" s="480"/>
    </row>
    <row r="9" spans="1:75" ht="14.25">
      <c r="A9" s="504">
        <f>DatosP!AO9</f>
        <v>0</v>
      </c>
      <c r="B9" s="504" t="s">
        <v>246</v>
      </c>
      <c r="C9" s="163" t="str">
        <f>DatosP!A9</f>
        <v xml:space="preserve">Jdos. 1ª Instancia   </v>
      </c>
      <c r="D9" s="505"/>
      <c r="E9" s="696"/>
      <c r="F9" s="686"/>
      <c r="G9" s="687"/>
      <c r="H9" s="688"/>
      <c r="I9" s="686"/>
      <c r="J9" s="688"/>
      <c r="K9" s="688"/>
      <c r="L9" s="688"/>
      <c r="M9" s="685"/>
      <c r="N9" s="685"/>
      <c r="O9" s="688"/>
      <c r="P9" s="688"/>
      <c r="Q9" s="1132"/>
      <c r="R9" s="1132"/>
      <c r="S9" s="688"/>
      <c r="T9" s="728"/>
      <c r="U9" s="229"/>
      <c r="V9" s="1009"/>
      <c r="W9" s="686"/>
      <c r="X9" s="728"/>
      <c r="Y9" s="686"/>
      <c r="Z9" s="688"/>
      <c r="AA9" s="691"/>
      <c r="AB9" s="692"/>
      <c r="AC9" s="685"/>
      <c r="AD9" s="686"/>
      <c r="AE9" s="675"/>
      <c r="AF9" s="676"/>
      <c r="AG9" s="675"/>
      <c r="AH9" s="676"/>
      <c r="AI9" s="675"/>
      <c r="AJ9" s="676"/>
      <c r="AK9" s="686"/>
      <c r="AL9" s="693"/>
      <c r="AM9" s="693"/>
      <c r="AN9" s="694"/>
      <c r="AO9" s="695"/>
      <c r="AP9" s="696"/>
      <c r="AQ9" s="695"/>
      <c r="AR9" s="697"/>
      <c r="AS9" s="697"/>
      <c r="AT9" s="698"/>
      <c r="AU9" s="699"/>
      <c r="AV9" s="699"/>
      <c r="AW9" s="700"/>
      <c r="AX9" s="700"/>
      <c r="AY9" s="700"/>
      <c r="AZ9" s="700"/>
      <c r="BA9" s="269"/>
      <c r="BB9" s="700"/>
      <c r="BC9" s="701"/>
      <c r="BD9" s="648"/>
      <c r="BW9" s="1028">
        <f>DatosP!ER9/factor_trimestre</f>
        <v>0</v>
      </c>
    </row>
    <row r="10" spans="1:75" ht="14.25">
      <c r="A10" s="504">
        <f>DatosP!AO10</f>
        <v>0</v>
      </c>
      <c r="B10" s="510" t="s">
        <v>246</v>
      </c>
      <c r="C10" s="7" t="str">
        <f>DatosP!A10</f>
        <v>Jdos. Violencia contra la mujer</v>
      </c>
      <c r="D10" s="511"/>
      <c r="E10" s="696"/>
      <c r="F10" s="686"/>
      <c r="G10" s="687"/>
      <c r="H10" s="688"/>
      <c r="I10" s="686"/>
      <c r="J10" s="688"/>
      <c r="K10" s="688"/>
      <c r="L10" s="688"/>
      <c r="M10" s="685"/>
      <c r="N10" s="685"/>
      <c r="O10" s="688"/>
      <c r="P10" s="688"/>
      <c r="Q10" s="1132"/>
      <c r="R10" s="1132"/>
      <c r="S10" s="688"/>
      <c r="T10" s="728"/>
      <c r="U10" s="229"/>
      <c r="V10" s="1009"/>
      <c r="W10" s="686"/>
      <c r="X10" s="728"/>
      <c r="Y10" s="686"/>
      <c r="Z10" s="688"/>
      <c r="AA10" s="691"/>
      <c r="AB10" s="692"/>
      <c r="AC10" s="685"/>
      <c r="AD10" s="686"/>
      <c r="AE10" s="675"/>
      <c r="AF10" s="676"/>
      <c r="AG10" s="675"/>
      <c r="AH10" s="676"/>
      <c r="AI10" s="675"/>
      <c r="AJ10" s="676"/>
      <c r="AK10" s="686"/>
      <c r="AL10" s="693"/>
      <c r="AM10" s="693"/>
      <c r="AN10" s="694"/>
      <c r="AO10" s="695"/>
      <c r="AP10" s="696"/>
      <c r="AQ10" s="695"/>
      <c r="AR10" s="697"/>
      <c r="AS10" s="697"/>
      <c r="AT10" s="698"/>
      <c r="AU10" s="699"/>
      <c r="AV10" s="699"/>
      <c r="AW10" s="700"/>
      <c r="AX10" s="700"/>
      <c r="AY10" s="700"/>
      <c r="AZ10" s="700"/>
      <c r="BA10" s="269"/>
      <c r="BB10" s="700"/>
      <c r="BC10" s="701"/>
      <c r="BD10" s="648"/>
      <c r="BW10" s="1028">
        <f>DatosP!ER10/factor_trimestre</f>
        <v>0</v>
      </c>
    </row>
    <row r="11" spans="1:75" ht="14.25">
      <c r="A11" s="504">
        <f>DatosP!AO11</f>
        <v>0</v>
      </c>
      <c r="B11" s="510" t="s">
        <v>246</v>
      </c>
      <c r="C11" s="7" t="str">
        <f>DatosP!A11</f>
        <v xml:space="preserve">Jdos. Familia                                   </v>
      </c>
      <c r="D11" s="511"/>
      <c r="E11" s="696"/>
      <c r="F11" s="686"/>
      <c r="G11" s="687"/>
      <c r="H11" s="688"/>
      <c r="I11" s="686"/>
      <c r="J11" s="688"/>
      <c r="K11" s="688"/>
      <c r="L11" s="688"/>
      <c r="M11" s="685"/>
      <c r="N11" s="685"/>
      <c r="O11" s="688"/>
      <c r="P11" s="688"/>
      <c r="Q11" s="1132"/>
      <c r="R11" s="1132"/>
      <c r="S11" s="688"/>
      <c r="T11" s="728"/>
      <c r="U11" s="229"/>
      <c r="V11" s="1009"/>
      <c r="W11" s="686"/>
      <c r="X11" s="728"/>
      <c r="Y11" s="686"/>
      <c r="Z11" s="688"/>
      <c r="AA11" s="691"/>
      <c r="AB11" s="692"/>
      <c r="AC11" s="685"/>
      <c r="AD11" s="686"/>
      <c r="AE11" s="675"/>
      <c r="AF11" s="676"/>
      <c r="AG11" s="675"/>
      <c r="AH11" s="676"/>
      <c r="AI11" s="675"/>
      <c r="AJ11" s="676"/>
      <c r="AK11" s="686"/>
      <c r="AL11" s="693"/>
      <c r="AM11" s="693"/>
      <c r="AN11" s="694"/>
      <c r="AO11" s="695"/>
      <c r="AP11" s="696"/>
      <c r="AQ11" s="695"/>
      <c r="AR11" s="697"/>
      <c r="AS11" s="697"/>
      <c r="AT11" s="698"/>
      <c r="AU11" s="699"/>
      <c r="AV11" s="699"/>
      <c r="AW11" s="700"/>
      <c r="AX11" s="700"/>
      <c r="AY11" s="700"/>
      <c r="AZ11" s="700"/>
      <c r="BA11" s="269"/>
      <c r="BB11" s="700"/>
      <c r="BC11" s="701"/>
      <c r="BD11" s="648"/>
      <c r="BW11" s="1028">
        <f>DatosP!ER11/factor_trimestre</f>
        <v>0</v>
      </c>
    </row>
    <row r="12" spans="1:75" ht="15" thickBot="1">
      <c r="A12" s="504">
        <f>DatosP!AO12</f>
        <v>0</v>
      </c>
      <c r="B12" s="510" t="s">
        <v>246</v>
      </c>
      <c r="C12" s="7" t="str">
        <f>DatosP!A12</f>
        <v xml:space="preserve">Jdos. 1ª Instª. e Instr.                        </v>
      </c>
      <c r="D12" s="511"/>
      <c r="E12" s="696"/>
      <c r="F12" s="686"/>
      <c r="G12" s="687"/>
      <c r="H12" s="688"/>
      <c r="I12" s="686"/>
      <c r="J12" s="688"/>
      <c r="K12" s="688"/>
      <c r="L12" s="688"/>
      <c r="M12" s="685"/>
      <c r="N12" s="685"/>
      <c r="O12" s="688"/>
      <c r="P12" s="688"/>
      <c r="Q12" s="1132"/>
      <c r="R12" s="1132"/>
      <c r="S12" s="688"/>
      <c r="T12" s="728"/>
      <c r="U12" s="229"/>
      <c r="V12" s="1009"/>
      <c r="W12" s="686"/>
      <c r="X12" s="728"/>
      <c r="Y12" s="686"/>
      <c r="Z12" s="688"/>
      <c r="AA12" s="691"/>
      <c r="AB12" s="692"/>
      <c r="AC12" s="685"/>
      <c r="AD12" s="686"/>
      <c r="AE12" s="675"/>
      <c r="AF12" s="676"/>
      <c r="AG12" s="675"/>
      <c r="AH12" s="676"/>
      <c r="AI12" s="675"/>
      <c r="AJ12" s="676"/>
      <c r="AK12" s="686"/>
      <c r="AL12" s="693"/>
      <c r="AM12" s="693"/>
      <c r="AN12" s="694"/>
      <c r="AO12" s="695"/>
      <c r="AP12" s="696"/>
      <c r="AQ12" s="695"/>
      <c r="AR12" s="697"/>
      <c r="AS12" s="697"/>
      <c r="AT12" s="698"/>
      <c r="AU12" s="699"/>
      <c r="AV12" s="699"/>
      <c r="AW12" s="700"/>
      <c r="AX12" s="700"/>
      <c r="AY12" s="700"/>
      <c r="AZ12" s="700"/>
      <c r="BA12" s="269"/>
      <c r="BB12" s="700"/>
      <c r="BC12" s="701"/>
      <c r="BD12" s="648"/>
      <c r="BW12" s="1028">
        <f>DatosP!ER12/factor_trimestre</f>
        <v>0</v>
      </c>
    </row>
    <row r="13" spans="1:75" ht="15.75" thickTop="1" thickBot="1">
      <c r="A13" s="704"/>
      <c r="B13" s="704"/>
      <c r="C13" s="939" t="str">
        <f>DatosP!A13</f>
        <v>TOTAL</v>
      </c>
      <c r="D13" s="940"/>
      <c r="E13" s="951">
        <f t="shared" ref="E13:W13" si="0">SUBTOTAL(9,E8:E12)</f>
        <v>0</v>
      </c>
      <c r="F13" s="941">
        <f t="shared" si="0"/>
        <v>0</v>
      </c>
      <c r="G13" s="941">
        <f t="shared" si="0"/>
        <v>0</v>
      </c>
      <c r="H13" s="942">
        <f t="shared" si="0"/>
        <v>0</v>
      </c>
      <c r="I13" s="941">
        <f t="shared" si="0"/>
        <v>0</v>
      </c>
      <c r="J13" s="943">
        <f t="shared" si="0"/>
        <v>0</v>
      </c>
      <c r="K13" s="942">
        <f t="shared" si="0"/>
        <v>0</v>
      </c>
      <c r="L13" s="942">
        <f t="shared" si="0"/>
        <v>0</v>
      </c>
      <c r="M13" s="944">
        <f t="shared" si="0"/>
        <v>0</v>
      </c>
      <c r="N13" s="944">
        <f t="shared" si="0"/>
        <v>0</v>
      </c>
      <c r="O13" s="942">
        <f t="shared" si="0"/>
        <v>0</v>
      </c>
      <c r="P13" s="942">
        <f t="shared" si="0"/>
        <v>0</v>
      </c>
      <c r="Q13" s="1133">
        <f t="shared" si="0"/>
        <v>0</v>
      </c>
      <c r="R13" s="1133">
        <f t="shared" si="0"/>
        <v>0</v>
      </c>
      <c r="S13" s="942">
        <f t="shared" si="0"/>
        <v>0</v>
      </c>
      <c r="T13" s="1133">
        <f t="shared" si="0"/>
        <v>0</v>
      </c>
      <c r="U13" s="870">
        <f t="shared" si="0"/>
        <v>0</v>
      </c>
      <c r="V13" s="1010">
        <f t="shared" si="0"/>
        <v>0</v>
      </c>
      <c r="W13" s="942">
        <f t="shared" si="0"/>
        <v>0</v>
      </c>
      <c r="X13" s="946" t="str">
        <f>IF(ISNUMBER((W13*factor_trimestre)/DatosP!CN13),(W13*factor_trimestre)/DatosP!CN13,"-")</f>
        <v>-</v>
      </c>
      <c r="Y13" s="942">
        <f t="shared" ref="Y13:AN13" si="1">SUBTOTAL(9,Y8:Y12)</f>
        <v>0</v>
      </c>
      <c r="Z13" s="942">
        <f t="shared" si="1"/>
        <v>0</v>
      </c>
      <c r="AA13" s="942">
        <f t="shared" si="1"/>
        <v>0</v>
      </c>
      <c r="AB13" s="942">
        <f t="shared" si="1"/>
        <v>0</v>
      </c>
      <c r="AC13" s="942">
        <f t="shared" si="1"/>
        <v>0</v>
      </c>
      <c r="AD13" s="942">
        <f t="shared" si="1"/>
        <v>0</v>
      </c>
      <c r="AE13" s="942">
        <f t="shared" si="1"/>
        <v>0</v>
      </c>
      <c r="AF13" s="942">
        <f t="shared" si="1"/>
        <v>0</v>
      </c>
      <c r="AG13" s="942">
        <f t="shared" si="1"/>
        <v>0</v>
      </c>
      <c r="AH13" s="942">
        <f t="shared" si="1"/>
        <v>0</v>
      </c>
      <c r="AI13" s="942">
        <f t="shared" si="1"/>
        <v>0</v>
      </c>
      <c r="AJ13" s="942">
        <f t="shared" si="1"/>
        <v>0</v>
      </c>
      <c r="AK13" s="942">
        <f t="shared" si="1"/>
        <v>0</v>
      </c>
      <c r="AL13" s="942">
        <f t="shared" si="1"/>
        <v>0</v>
      </c>
      <c r="AM13" s="942">
        <f t="shared" si="1"/>
        <v>0</v>
      </c>
      <c r="AN13" s="942">
        <f t="shared" si="1"/>
        <v>0</v>
      </c>
      <c r="AO13" s="942" t="str">
        <f>IF(ISNUMBER(DatosP!K13/DatosP!J13),DatosP!K13/DatosP!J13," - ")</f>
        <v xml:space="preserve"> - </v>
      </c>
      <c r="AP13" s="947" t="str">
        <f>IF(ISNUMBER(((DatosP!L13/DatosP!K13)*11)/factor_trimestre),((DatosP!L13/DatosP!K13)*11)/factor_trimestre," - ")</f>
        <v xml:space="preserve"> - </v>
      </c>
      <c r="AQ13" s="942">
        <f>IF(ISNUMBER('Resol  Asuntos'!D13/NºAsuntos!G13),'Resol  Asuntos'!D13/NºAsuntos!G13," - ")</f>
        <v>0.26807563959955505</v>
      </c>
      <c r="AR13" s="942" t="str">
        <f>IF(ISNUMBER(DatosP!CI13/DatosP!CJ13),DatosP!CI13/DatosP!CJ13," - ")</f>
        <v xml:space="preserve"> - </v>
      </c>
      <c r="AS13" s="948" t="str">
        <f>IF(ISNUMBER((I13-Y13+K13)/(F13-K13)),(I13-Y13+K13)/(F13-K13)," - ")</f>
        <v xml:space="preserve"> - </v>
      </c>
      <c r="AT13" s="948">
        <f>SUBTOTAL(9,AT9:AT12)</f>
        <v>0</v>
      </c>
      <c r="AU13" s="942">
        <f t="shared" ref="AU13:BA13" si="2">SUBTOTAL(9,AU8:AU12)</f>
        <v>0</v>
      </c>
      <c r="AV13" s="942">
        <f t="shared" si="2"/>
        <v>0</v>
      </c>
      <c r="AW13" s="942">
        <f t="shared" si="2"/>
        <v>0</v>
      </c>
      <c r="AX13" s="942">
        <f t="shared" si="2"/>
        <v>0</v>
      </c>
      <c r="AY13" s="942">
        <f t="shared" si="2"/>
        <v>0</v>
      </c>
      <c r="AZ13" s="942">
        <f t="shared" si="2"/>
        <v>0</v>
      </c>
      <c r="BA13" s="902">
        <f t="shared" si="2"/>
        <v>0</v>
      </c>
      <c r="BB13" s="942"/>
      <c r="BC13" s="942"/>
      <c r="BW13" s="902"/>
    </row>
    <row r="14" spans="1:75" ht="15" thickTop="1">
      <c r="A14" s="513"/>
      <c r="B14" s="513"/>
      <c r="C14" s="289" t="str">
        <f>DatosP!A14</f>
        <v xml:space="preserve">Jurisdicción Penal ( 2 ):                      </v>
      </c>
      <c r="D14" s="514"/>
      <c r="E14" s="707"/>
      <c r="F14" s="708"/>
      <c r="G14" s="708"/>
      <c r="H14" s="709"/>
      <c r="I14" s="710"/>
      <c r="J14" s="668"/>
      <c r="K14" s="709"/>
      <c r="L14" s="688"/>
      <c r="M14" s="709"/>
      <c r="N14" s="709"/>
      <c r="O14" s="688"/>
      <c r="P14" s="688"/>
      <c r="Q14" s="1134"/>
      <c r="R14" s="1134"/>
      <c r="S14" s="688"/>
      <c r="T14" s="712"/>
      <c r="U14" s="303"/>
      <c r="V14" s="1011"/>
      <c r="W14" s="686"/>
      <c r="X14" s="712"/>
      <c r="Y14" s="686"/>
      <c r="Z14" s="688"/>
      <c r="AA14" s="710"/>
      <c r="AB14" s="692"/>
      <c r="AC14" s="685"/>
      <c r="AD14" s="686"/>
      <c r="AE14" s="675"/>
      <c r="AF14" s="676"/>
      <c r="AG14" s="675"/>
      <c r="AH14" s="676"/>
      <c r="AI14" s="675"/>
      <c r="AJ14" s="676"/>
      <c r="AK14" s="686"/>
      <c r="AL14" s="693"/>
      <c r="AM14" s="693"/>
      <c r="AN14" s="694"/>
      <c r="AO14" s="695"/>
      <c r="AP14" s="696"/>
      <c r="AQ14" s="695"/>
      <c r="AR14" s="697"/>
      <c r="AS14" s="697"/>
      <c r="AT14" s="713"/>
      <c r="AU14" s="714"/>
      <c r="AV14" s="714"/>
      <c r="AW14" s="700"/>
      <c r="AX14" s="700"/>
      <c r="AY14" s="707"/>
      <c r="AZ14" s="707"/>
      <c r="BA14" s="518"/>
      <c r="BB14" s="700"/>
      <c r="BC14" s="701"/>
      <c r="BW14" s="483"/>
    </row>
    <row r="15" spans="1:75" s="724" customFormat="1" ht="15">
      <c r="A15" s="596">
        <f>DatosP!AO15</f>
        <v>0</v>
      </c>
      <c r="B15" s="597" t="s">
        <v>396</v>
      </c>
      <c r="C15" s="603" t="str">
        <f>DatosP!A15</f>
        <v xml:space="preserve">Jdos. Instrucción                               </v>
      </c>
      <c r="D15" s="604"/>
      <c r="E15" s="1175"/>
      <c r="F15" s="717"/>
      <c r="G15" s="718"/>
      <c r="H15" s="719"/>
      <c r="I15" s="717"/>
      <c r="J15" s="688"/>
      <c r="K15" s="719"/>
      <c r="L15" s="688"/>
      <c r="M15" s="720"/>
      <c r="N15" s="720"/>
      <c r="O15" s="688"/>
      <c r="P15" s="688"/>
      <c r="Q15" s="1135"/>
      <c r="R15" s="1135"/>
      <c r="S15" s="688"/>
      <c r="T15" s="712"/>
      <c r="U15" s="229" t="str">
        <f>IF(ISNUMBER(DatosP!EO15),DatosP!EO15," - ")</f>
        <v xml:space="preserve"> - </v>
      </c>
      <c r="V15" s="1009" t="e">
        <f>(U15/DatosP!ER15)*factor_trimestre</f>
        <v>#VALUE!</v>
      </c>
      <c r="W15" s="686"/>
      <c r="X15" s="712"/>
      <c r="Y15" s="686"/>
      <c r="Z15" s="688"/>
      <c r="AA15" s="722"/>
      <c r="AB15" s="692"/>
      <c r="AC15" s="685"/>
      <c r="AD15" s="686"/>
      <c r="AE15" s="675"/>
      <c r="AF15" s="676"/>
      <c r="AG15" s="675"/>
      <c r="AH15" s="676"/>
      <c r="AI15" s="675"/>
      <c r="AJ15" s="676"/>
      <c r="AK15" s="686"/>
      <c r="AL15" s="693"/>
      <c r="AM15" s="693"/>
      <c r="AN15" s="694"/>
      <c r="AO15" s="695" t="str">
        <f>IF(ISNUMBER(IF(D_I="SI",DatosP!K15/DatosP!J15,(DatosP!K15+DatosP!AE15)/(DatosP!J15+DatosP!AD15))),IF(D_I="SI",DatosP!K15/DatosP!J15,(DatosP!K15+DatosP!AE15)/(DatosP!J15+DatosP!AD15))," - ")</f>
        <v xml:space="preserve"> - </v>
      </c>
      <c r="AP15" s="696" t="str">
        <f>IF(ISNUMBER(((IF(D_I="SI",DatosP!L15/DatosP!K15,(DatosP!L15+DatosP!AF15)/(DatosP!K15+DatosP!AE15)))*11)/factor_trimestre),((IF(D_I="SI",DatosP!L15/DatosP!K15,(DatosP!L15+DatosP!AF15)/(DatosP!K15+DatosP!AE15)))*11)/factor_trimestre," - ")</f>
        <v xml:space="preserve"> - </v>
      </c>
      <c r="AQ15" s="695"/>
      <c r="AR15" s="697"/>
      <c r="AS15" s="697"/>
      <c r="AT15" s="713"/>
      <c r="AU15" s="723"/>
      <c r="AV15" s="723"/>
      <c r="AW15" s="700"/>
      <c r="AX15" s="700"/>
      <c r="AY15" s="716"/>
      <c r="AZ15" s="716"/>
      <c r="BA15" s="600"/>
      <c r="BB15" s="700"/>
      <c r="BC15" s="701"/>
      <c r="BW15" s="1028">
        <f>DatosP!ER15/factor_trimestre</f>
        <v>0</v>
      </c>
    </row>
    <row r="16" spans="1:75" ht="15">
      <c r="A16" s="504">
        <f>DatosP!AO16</f>
        <v>0</v>
      </c>
      <c r="B16" s="510" t="s">
        <v>396</v>
      </c>
      <c r="C16" s="163" t="str">
        <f>DatosP!A16</f>
        <v xml:space="preserve">Jdos. 1ª Instª. e Instr.                        </v>
      </c>
      <c r="D16" s="505"/>
      <c r="E16" s="1176" t="str">
        <f>IF(ISNUMBER(DatosP!AQ16),DatosP!AQ16," - ")</f>
        <v xml:space="preserve"> - </v>
      </c>
      <c r="F16" s="686" t="str">
        <f>IF(ISNUMBER(AA16+Y16-DatosP!J16-K16),AA16+Y16-DatosP!J16-K16," - ")</f>
        <v xml:space="preserve"> - </v>
      </c>
      <c r="G16" s="687" t="str">
        <f>IF(ISNUMBER(IF(D_I="SI",DatosP!I16,DatosP!I16+DatosP!AC16)),IF(D_I="SI",DatosP!I16,DatosP!I16+DatosP!AC16)," - ")</f>
        <v xml:space="preserve"> - </v>
      </c>
      <c r="H16" s="688"/>
      <c r="I16" s="686" t="str">
        <f>IF(ISNUMBER(DatosP!DC16),DatosP!DC16," - ")</f>
        <v xml:space="preserve"> - </v>
      </c>
      <c r="J16" s="688" t="str">
        <f>IF(ISNUMBER(DatosP!DC16),DatosP!DC16," - ")</f>
        <v xml:space="preserve"> - </v>
      </c>
      <c r="K16" s="688">
        <f>IF(ISNUMBER(DatosP!DF16),DatosP!DF16,0)</f>
        <v>0</v>
      </c>
      <c r="L16" s="688">
        <f>IF(ISNUMBER(DatosP!DM16),DatosP!DM16,0)</f>
        <v>0</v>
      </c>
      <c r="M16" s="685"/>
      <c r="N16" s="685"/>
      <c r="O16" s="688">
        <f>IF(ISNUMBER(DatosP!P16),DatosP!P16,0)</f>
        <v>0</v>
      </c>
      <c r="P16" s="688" t="str">
        <f>IF(ISNUMBER(DatosP!DE16),DatosP!DE16," - ")</f>
        <v xml:space="preserve"> - </v>
      </c>
      <c r="Q16" s="1132"/>
      <c r="R16" s="1132"/>
      <c r="S16" s="688" t="str">
        <f>IF(ISNUMBER(DatosP!AS16/E16),DatosP!AS16/E16," - ")</f>
        <v xml:space="preserve"> - </v>
      </c>
      <c r="T16" s="728" t="str">
        <f>IF(ISNUMBER(S16/(DatosP!BM16/factor_trimestre)),S16/(DatosP!BM16/factor_trimestre)," - ")</f>
        <v xml:space="preserve"> - </v>
      </c>
      <c r="U16" s="229" t="str">
        <f>IF(ISNUMBER(DatosP!EO16),DatosP!EO16," - ")</f>
        <v xml:space="preserve"> - </v>
      </c>
      <c r="V16" s="1009" t="e">
        <f>(U16/DatosP!ER16)*factor_trimestre</f>
        <v>#VALUE!</v>
      </c>
      <c r="W16" s="686" t="str">
        <f>IF(ISNUMBER(DatosP!BY16),DatosP!BY16," - ")</f>
        <v xml:space="preserve"> - </v>
      </c>
      <c r="X16" s="728" t="str">
        <f>IF(ISNUMBER((W16*factor_trimestre)/DatosP!CN16),(W16*factor_trimestre)/DatosP!CN16,"-")</f>
        <v>-</v>
      </c>
      <c r="Y16" s="686" t="str">
        <f>IF(ISNUMBER(IF(D_I="SI",DatosP!K16,DatosP!K16+DatosP!AE16)),IF(D_I="SI",DatosP!K16,DatosP!K16+DatosP!AE16)," - ")</f>
        <v xml:space="preserve"> - </v>
      </c>
      <c r="Z16" s="688" t="str">
        <f>IF(ISNUMBER(DatosP!Q16),DatosP!Q16," - ")</f>
        <v xml:space="preserve"> - </v>
      </c>
      <c r="AA16" s="691" t="str">
        <f>IF(ISNUMBER(IF(D_I="SI",DatosP!L16,DatosP!L16+DatosP!AF16)),IF(D_I="SI",DatosP!L16,DatosP!L16+DatosP!AF16)," - ")</f>
        <v xml:space="preserve"> - </v>
      </c>
      <c r="AB16" s="692" t="str">
        <f>IF(ISNUMBER(DatosP!R16),DatosP!R16," - ")</f>
        <v xml:space="preserve"> - </v>
      </c>
      <c r="AC16" s="685" t="str">
        <f>IF(ISNUMBER(DatosP!BV16),DatosP!BV16," - ")</f>
        <v xml:space="preserve"> - </v>
      </c>
      <c r="AD16" s="686" t="str">
        <f>IF(ISNUMBER(DatosP!CK16),DatosP!CK16," - ")</f>
        <v xml:space="preserve"> - </v>
      </c>
      <c r="AE16" s="675" t="str">
        <f>IF(ISNUMBER(DatosP!CL16),DatosP!CL16," - ")</f>
        <v xml:space="preserve"> - </v>
      </c>
      <c r="AF16" s="676" t="str">
        <f>IF(ISNUMBER(DatosP!CM16),DatosP!CM16," - ")</f>
        <v xml:space="preserve"> - </v>
      </c>
      <c r="AG16" s="675" t="str">
        <f>IF(ISNUMBER(DatosP!DV16),DatosP!DV16," - ")</f>
        <v xml:space="preserve"> - </v>
      </c>
      <c r="AH16" s="676"/>
      <c r="AI16" s="675"/>
      <c r="AJ16" s="676"/>
      <c r="AK16" s="686" t="str">
        <f>IF(ISNUMBER(DatosP!M16),DatosP!M16," - ")</f>
        <v xml:space="preserve"> - </v>
      </c>
      <c r="AL16" s="693" t="str">
        <f>IF(ISNUMBER(DatosP!N16),DatosP!N16," - ")</f>
        <v xml:space="preserve"> - </v>
      </c>
      <c r="AM16" s="693" t="str">
        <f>IF(ISNUMBER(DatosP!BW16),DatosP!BW16," - ")</f>
        <v xml:space="preserve"> - </v>
      </c>
      <c r="AN16" s="694" t="str">
        <f>IF(ISNUMBER(DatosP!BX16),DatosP!BX16," - ")</f>
        <v xml:space="preserve"> - </v>
      </c>
      <c r="AO16" s="695" t="str">
        <f>IF(ISNUMBER(IF(D_I="SI",DatosP!K16/DatosP!J16,(DatosP!K16+DatosP!AE16)/(DatosP!J16+DatosP!AD16))),IF(D_I="SI",DatosP!K16/DatosP!J16,(DatosP!K16+DatosP!AE16)/(DatosP!J16+DatosP!AD16))," - ")</f>
        <v xml:space="preserve"> - </v>
      </c>
      <c r="AP16" s="696" t="str">
        <f>IF(ISNUMBER(((IF(D_I="SI",DatosP!L16/DatosP!K16,(DatosP!L16+DatosP!AF16)/(DatosP!K16+DatosP!AE16)))*11)/factor_trimestre),((IF(D_I="SI",DatosP!L16/DatosP!K16,(DatosP!L16+DatosP!AF16)/(DatosP!K16+DatosP!AE16)))*11)/factor_trimestre," - ")</f>
        <v xml:space="preserve"> - </v>
      </c>
      <c r="AQ16" s="695" t="str">
        <f>IF(ISNUMBER(DatosP!M16/(IF(D_I="SI",DatosP!K16,DatosP!K16+DatosP!AE16))),DatosP!M16/(IF(D_I="SI",DatosP!K16,DatosP!K16+DatosP!AE16))," - ")</f>
        <v xml:space="preserve"> - </v>
      </c>
      <c r="AR16" s="697" t="str">
        <f>IF(ISNUMBER(DatosP!CI16/DatosP!CJ16),DatosP!CI16/DatosP!CJ16," - ")</f>
        <v xml:space="preserve"> - </v>
      </c>
      <c r="AS16" s="697" t="str">
        <f>IF(ISNUMBER((J16-Y16+K16)/(F16)),(J16-Y16+K16)/(F16)," - ")</f>
        <v xml:space="preserve"> - </v>
      </c>
      <c r="AT16" s="698" t="str">
        <f>IF(ISNUMBER((DatosP!P16-DatosP!Q16+P16)/(DatosP!R16-DatosP!P16+DatosP!Q16-P16)),(DatosP!P16-DatosP!Q16+P16)/(DatosP!R16-DatosP!P16+DatosP!Q16-P16)," - ")</f>
        <v xml:space="preserve"> - </v>
      </c>
      <c r="AU16" s="726" t="str">
        <f>IF(ISNUMBER(DatosP!CS16),DatosP!CS16," - ")</f>
        <v xml:space="preserve"> - </v>
      </c>
      <c r="AV16" s="726" t="str">
        <f>IF(ISNUMBER(DatosP!EI16),DatosP!EI16," - ")</f>
        <v xml:space="preserve"> - </v>
      </c>
      <c r="AW16" s="700" t="str">
        <f>IF(ISNUMBER(DatosP!EV16),DatosP!EV16," - ")</f>
        <v xml:space="preserve"> - </v>
      </c>
      <c r="AX16" s="700" t="str">
        <f>IF(ISNUMBER(DatosP!CW16),DatosP!CW16," - ")</f>
        <v xml:space="preserve"> - </v>
      </c>
      <c r="AY16" s="700"/>
      <c r="AZ16" s="700"/>
      <c r="BA16" s="600"/>
      <c r="BB16" s="700">
        <f>DatosP!CX16</f>
        <v>0</v>
      </c>
      <c r="BC16" s="701">
        <f>DatosP!DU16</f>
        <v>0</v>
      </c>
      <c r="BD16" s="648"/>
      <c r="BW16" s="1028">
        <f>DatosP!ER16/factor_trimestre</f>
        <v>0</v>
      </c>
    </row>
    <row r="17" spans="1:75" ht="15.75" thickBot="1">
      <c r="A17" s="504">
        <f>DatosP!AO17</f>
        <v>0</v>
      </c>
      <c r="B17" s="510" t="s">
        <v>396</v>
      </c>
      <c r="C17" s="7" t="str">
        <f>DatosP!A17</f>
        <v>Jdos. Violencia contra la mujer</v>
      </c>
      <c r="D17" s="511"/>
      <c r="E17" s="1176" t="str">
        <f>IF(ISNUMBER(DatosP!AQ17),DatosP!AQ17," - ")</f>
        <v xml:space="preserve"> - </v>
      </c>
      <c r="F17" s="686" t="str">
        <f>IF(ISNUMBER(AA17+Y17-I17-K17),AA17+Y17-I17-K17," - ")</f>
        <v xml:space="preserve"> - </v>
      </c>
      <c r="G17" s="687" t="str">
        <f>IF(ISNUMBER(IF(D_I="SI",DatosP!I17,DatosP!I17+DatosP!AC17)),IF(D_I="SI",DatosP!I17,DatosP!I17+DatosP!AC17)," - ")</f>
        <v xml:space="preserve"> - </v>
      </c>
      <c r="H17" s="688"/>
      <c r="I17" s="686" t="str">
        <f>IF(ISNUMBER(DatosP!DB17),DatosP!DB17," - ")</f>
        <v xml:space="preserve"> - </v>
      </c>
      <c r="J17" s="688" t="str">
        <f>IF(ISNUMBER(DatosP!DC17),DatosP!DC17," - ")</f>
        <v xml:space="preserve"> - </v>
      </c>
      <c r="K17" s="688">
        <f>IF(ISNUMBER(DatosP!DF17),DatosP!DF17,0)</f>
        <v>0</v>
      </c>
      <c r="L17" s="688">
        <f>IF(ISNUMBER(DatosP!DM17),DatosP!DM17,0)</f>
        <v>0</v>
      </c>
      <c r="M17" s="685" t="str">
        <f>IF(ISNUMBER(DatosP!EB17),DatosP!EB17," - ")</f>
        <v xml:space="preserve"> - </v>
      </c>
      <c r="N17" s="685" t="str">
        <f>IF(ISNUMBER(DatosP!EC17),DatosP!EC17," - ")</f>
        <v xml:space="preserve"> - </v>
      </c>
      <c r="O17" s="688">
        <f>IF(ISNUMBER(DatosP!P17),DatosP!P17,0)</f>
        <v>0</v>
      </c>
      <c r="P17" s="688" t="str">
        <f>IF(ISNUMBER(DatosP!DE17),DatosP!DE17," - ")</f>
        <v xml:space="preserve"> - </v>
      </c>
      <c r="Q17" s="1132" t="str">
        <f>IF(ISNUMBER(DatosP!EB17*factor_trimestre/DatosP!EE17),DatosP!EB17*factor_trimestre/DatosP!EE17," - ")</f>
        <v xml:space="preserve"> - </v>
      </c>
      <c r="R17" s="1132" t="str">
        <f>IF(ISNUMBER(DatosP!EC17*factor_trimestre/DatosP!EF17),DatosP!EC17*factor_trimestre/DatosP!EF17," - ")</f>
        <v xml:space="preserve"> - </v>
      </c>
      <c r="S17" s="688" t="str">
        <f>IF(ISNUMBER((DatosP!AS17+DatosP!AT17)/E17),(DatosP!AS17+DatosP!AT17)/E17," - ")</f>
        <v xml:space="preserve"> - </v>
      </c>
      <c r="T17" s="728" t="str">
        <f>IF(ISNUMBER(S17/(DatosP!BM17/factor_trimestre)),S17/(DatosP!BM17/factor_trimestre)," - ")</f>
        <v xml:space="preserve"> - </v>
      </c>
      <c r="U17" s="229" t="str">
        <f>IF(ISNUMBER(DatosP!EO17),DatosP!EO17," - ")</f>
        <v xml:space="preserve"> - </v>
      </c>
      <c r="V17" s="1009" t="e">
        <f>(U17/DatosP!ER17)*factor_trimestre</f>
        <v>#VALUE!</v>
      </c>
      <c r="W17" s="686">
        <f>IF(ISNUMBER(DatosP!BY17+DatosP!BZ17),DatosP!BY17+DatosP!BZ17," - ")</f>
        <v>0</v>
      </c>
      <c r="X17" s="728" t="str">
        <f>IF(ISNUMBER((W17*factor_trimestre)/DatosP!CN17),(W17*factor_trimestre)/DatosP!CN17,"-")</f>
        <v>-</v>
      </c>
      <c r="Y17" s="686" t="str">
        <f>IF(ISNUMBER(IF(D_I="SI",DatosP!K17,DatosP!K17+DatosP!AE17)),IF(D_I="SI",DatosP!K17,DatosP!K17+DatosP!AE17)," - ")</f>
        <v xml:space="preserve"> - </v>
      </c>
      <c r="Z17" s="688" t="str">
        <f>IF(ISNUMBER(DatosP!Q17),DatosP!Q17," - ")</f>
        <v xml:space="preserve"> - </v>
      </c>
      <c r="AA17" s="691" t="str">
        <f>IF(ISNUMBER(DatosP!L17),DatosP!L17,"-")</f>
        <v>-</v>
      </c>
      <c r="AB17" s="692" t="str">
        <f>IF(ISNUMBER(DatosP!R17),DatosP!R17," - ")</f>
        <v xml:space="preserve"> - </v>
      </c>
      <c r="AC17" s="685" t="str">
        <f>IF(ISNUMBER(DatosP!BV17),DatosP!BV17," - ")</f>
        <v xml:space="preserve"> - </v>
      </c>
      <c r="AD17" s="686" t="str">
        <f>IF(ISNUMBER(DatosP!CK17),DatosP!CK17," - ")</f>
        <v xml:space="preserve"> - </v>
      </c>
      <c r="AE17" s="675" t="str">
        <f>IF(ISNUMBER(DatosP!CL17),DatosP!CL17," - ")</f>
        <v xml:space="preserve"> - </v>
      </c>
      <c r="AF17" s="676" t="str">
        <f>IF(ISNUMBER(DatosP!CM17),DatosP!CM17," - ")</f>
        <v xml:space="preserve"> - </v>
      </c>
      <c r="AG17" s="675" t="str">
        <f>IF(ISNUMBER(DatosP!DV17),DatosP!DV17," - ")</f>
        <v xml:space="preserve"> - </v>
      </c>
      <c r="AH17" s="676"/>
      <c r="AI17" s="675"/>
      <c r="AJ17" s="676"/>
      <c r="AK17" s="686" t="str">
        <f>IF(ISNUMBER(DatosP!M17),DatosP!M17," - ")</f>
        <v xml:space="preserve"> - </v>
      </c>
      <c r="AL17" s="693" t="str">
        <f>IF(ISNUMBER(DatosP!N17),DatosP!N17," - ")</f>
        <v xml:space="preserve"> - </v>
      </c>
      <c r="AM17" s="693" t="str">
        <f>IF(ISNUMBER(DatosP!BW17),DatosP!BW17," - ")</f>
        <v xml:space="preserve"> - </v>
      </c>
      <c r="AN17" s="694" t="str">
        <f>IF(ISNUMBER(DatosP!BX17),DatosP!BX17," - ")</f>
        <v xml:space="preserve"> - </v>
      </c>
      <c r="AO17" s="695" t="str">
        <f>IF(ISNUMBER(IF(D_I="SI",DatosP!K17/DatosP!J17,(DatosP!K17+DatosP!AE17)/(DatosP!J17+DatosP!AD17))),IF(D_I="SI",DatosP!K17/DatosP!J17,(DatosP!K17+DatosP!AE17)/(DatosP!J17+DatosP!AD17))," - ")</f>
        <v xml:space="preserve"> - </v>
      </c>
      <c r="AP17" s="696" t="str">
        <f>IF(ISNUMBER(((IF(D_I="SI",DatosP!L17/DatosP!K17,(DatosP!L17+DatosP!AF17)/(DatosP!K17+DatosP!AE17)))*11)/factor_trimestre),((IF(D_I="SI",DatosP!L17/DatosP!K17,(DatosP!L17+DatosP!AF17)/(DatosP!K17+DatosP!AE17)))*11)/factor_trimestre," - ")</f>
        <v xml:space="preserve"> - </v>
      </c>
      <c r="AQ17" s="695" t="str">
        <f>IF(ISNUMBER(DatosP!M17/(IF(D_I="SI",DatosP!K17,DatosP!K17+DatosP!AE17))),DatosP!M17/(IF(D_I="SI",DatosP!K17,DatosP!K17+DatosP!AE17))," - ")</f>
        <v xml:space="preserve"> - </v>
      </c>
      <c r="AR17" s="697" t="str">
        <f>IF(ISNUMBER(DatosP!CI17/DatosP!CJ17),DatosP!CI17/DatosP!CJ17," - ")</f>
        <v xml:space="preserve"> - </v>
      </c>
      <c r="AS17" s="697" t="str">
        <f>IF(ISNUMBER((I17-Y17+K17)/(F17)),(I17-Y17+K17)/(F17)," - ")</f>
        <v xml:space="preserve"> - </v>
      </c>
      <c r="AT17" s="698" t="str">
        <f>IF(ISNUMBER((DatosP!P17-DatosP!Q17+P17)/(DatosP!R17-DatosP!P17+DatosP!Q17-P17)),(DatosP!P17-DatosP!Q17+P17)/(DatosP!R17-DatosP!P17+DatosP!Q17-P17)," - ")</f>
        <v xml:space="preserve"> - </v>
      </c>
      <c r="AU17" s="726" t="str">
        <f>IF(ISNUMBER(DatosP!CS17),DatosP!CS17," - ")</f>
        <v xml:space="preserve"> - </v>
      </c>
      <c r="AV17" s="726" t="str">
        <f>IF(ISNUMBER(DatosP!EI17),DatosP!EI17," - ")</f>
        <v xml:space="preserve"> - </v>
      </c>
      <c r="AW17" s="700" t="str">
        <f>IF(ISNUMBER(DatosP!EV17),DatosP!EV17," - ")</f>
        <v xml:space="preserve"> - </v>
      </c>
      <c r="AX17" s="700" t="str">
        <f>IF(ISNUMBER(DatosP!CW17),DatosP!CW17," - ")</f>
        <v xml:space="preserve"> - </v>
      </c>
      <c r="AY17" s="700"/>
      <c r="AZ17" s="700"/>
      <c r="BA17" s="269"/>
      <c r="BB17" s="700">
        <f>DatosP!CX17</f>
        <v>0</v>
      </c>
      <c r="BC17" s="701">
        <f>DatosP!DU17</f>
        <v>0</v>
      </c>
      <c r="BD17" s="648"/>
      <c r="BW17" s="1028">
        <f>DatosP!ER17/factor_trimestre</f>
        <v>0</v>
      </c>
    </row>
    <row r="18" spans="1:75" ht="15.75" thickTop="1" thickBot="1">
      <c r="A18" s="704"/>
      <c r="B18" s="704"/>
      <c r="C18" s="939" t="str">
        <f>DatosP!A18</f>
        <v>TOTAL</v>
      </c>
      <c r="D18" s="940"/>
      <c r="E18" s="951">
        <f>SUBTOTAL(9,E15:E17)</f>
        <v>0</v>
      </c>
      <c r="F18" s="941">
        <f>SUBTOTAL(9,F15:F17)</f>
        <v>0</v>
      </c>
      <c r="G18" s="941">
        <f>SUBTOTAL(9,G15:G17)</f>
        <v>0</v>
      </c>
      <c r="H18" s="942">
        <f>SUBTOTAL(9,H15:H17)</f>
        <v>0</v>
      </c>
      <c r="I18" s="941">
        <f>SUBTOTAL(9,I15:I17)</f>
        <v>0</v>
      </c>
      <c r="J18" s="943">
        <f>SUBTOTAL(9,J14:J17)</f>
        <v>0</v>
      </c>
      <c r="K18" s="942">
        <f t="shared" ref="K18:T18" si="3">SUBTOTAL(9,K15:K17)</f>
        <v>0</v>
      </c>
      <c r="L18" s="942">
        <f t="shared" si="3"/>
        <v>0</v>
      </c>
      <c r="M18" s="944">
        <f t="shared" si="3"/>
        <v>0</v>
      </c>
      <c r="N18" s="944">
        <f t="shared" si="3"/>
        <v>0</v>
      </c>
      <c r="O18" s="942">
        <f t="shared" si="3"/>
        <v>0</v>
      </c>
      <c r="P18" s="942">
        <f t="shared" si="3"/>
        <v>0</v>
      </c>
      <c r="Q18" s="1133">
        <f t="shared" si="3"/>
        <v>0</v>
      </c>
      <c r="R18" s="1133">
        <f t="shared" si="3"/>
        <v>0</v>
      </c>
      <c r="S18" s="942">
        <f t="shared" si="3"/>
        <v>0</v>
      </c>
      <c r="T18" s="1133">
        <f t="shared" si="3"/>
        <v>0</v>
      </c>
      <c r="U18" s="867">
        <f>SUBTOTAL(9,U14:U17)</f>
        <v>0</v>
      </c>
      <c r="V18" s="1012" t="e">
        <f>SUBTOTAL(9,V14:V17)</f>
        <v>#VALUE!</v>
      </c>
      <c r="W18" s="942">
        <f>SUBTOTAL(9,W15:W17)</f>
        <v>0</v>
      </c>
      <c r="X18" s="946" t="str">
        <f>IF(ISNUMBER((W18*factor_trimestre)/DatosP!CN18),(W18*factor_trimestre)/DatosP!CN18,"-")</f>
        <v>-</v>
      </c>
      <c r="Y18" s="942">
        <f t="shared" ref="Y18:AN18" si="4">SUBTOTAL(9,Y15:Y17)</f>
        <v>0</v>
      </c>
      <c r="Z18" s="942">
        <f t="shared" si="4"/>
        <v>0</v>
      </c>
      <c r="AA18" s="942">
        <f t="shared" si="4"/>
        <v>0</v>
      </c>
      <c r="AB18" s="942">
        <f t="shared" si="4"/>
        <v>0</v>
      </c>
      <c r="AC18" s="942">
        <f t="shared" si="4"/>
        <v>0</v>
      </c>
      <c r="AD18" s="942">
        <f t="shared" si="4"/>
        <v>0</v>
      </c>
      <c r="AE18" s="942">
        <f t="shared" si="4"/>
        <v>0</v>
      </c>
      <c r="AF18" s="942">
        <f t="shared" si="4"/>
        <v>0</v>
      </c>
      <c r="AG18" s="942">
        <f t="shared" si="4"/>
        <v>0</v>
      </c>
      <c r="AH18" s="942">
        <f t="shared" si="4"/>
        <v>0</v>
      </c>
      <c r="AI18" s="942">
        <f t="shared" si="4"/>
        <v>0</v>
      </c>
      <c r="AJ18" s="942">
        <f t="shared" si="4"/>
        <v>0</v>
      </c>
      <c r="AK18" s="942">
        <f t="shared" si="4"/>
        <v>0</v>
      </c>
      <c r="AL18" s="942">
        <f t="shared" si="4"/>
        <v>0</v>
      </c>
      <c r="AM18" s="942">
        <f t="shared" si="4"/>
        <v>0</v>
      </c>
      <c r="AN18" s="942">
        <f t="shared" si="4"/>
        <v>0</v>
      </c>
      <c r="AO18" s="942" t="str">
        <f>IF(ISNUMBER(DatosP!K18/DatosP!J18),DatosP!K18/DatosP!J18," - ")</f>
        <v xml:space="preserve"> - </v>
      </c>
      <c r="AP18" s="947" t="str">
        <f>IF(ISNUMBER(((DatosP!L18/DatosP!K18)*11)/factor_trimestre),((DatosP!L18/DatosP!K18)*11)/factor_trimestre," - ")</f>
        <v xml:space="preserve"> - </v>
      </c>
      <c r="AQ18" s="942">
        <f>SUBTOTAL(9,AQ15:AQ17)</f>
        <v>0</v>
      </c>
      <c r="AR18" s="942">
        <f>SUBTOTAL(9,AR15:AR17)</f>
        <v>0</v>
      </c>
      <c r="AS18" s="948" t="str">
        <f>IF(ISNUMBER((I18-Y18+K18)/(F18)),(I18-Y18+K18)/(F18)," - ")</f>
        <v xml:space="preserve"> - </v>
      </c>
      <c r="AT18" s="949" t="str">
        <f>IF(ISNUMBER((DatosP!P18-DatosP!Q18)/(DatosP!R18-DatosP!P18+DatosP!Q18)),(DatosP!P18-DatosP!Q18)/(DatosP!R18-DatosP!P18+DatosP!Q18)," - ")</f>
        <v xml:space="preserve"> - </v>
      </c>
      <c r="AU18" s="942">
        <f t="shared" ref="AU18:AZ18" si="5">SUBTOTAL(9,AU15:AU17)</f>
        <v>0</v>
      </c>
      <c r="AV18" s="942">
        <f t="shared" si="5"/>
        <v>0</v>
      </c>
      <c r="AW18" s="942">
        <f t="shared" si="5"/>
        <v>0</v>
      </c>
      <c r="AX18" s="942">
        <f t="shared" si="5"/>
        <v>0</v>
      </c>
      <c r="AY18" s="942">
        <f t="shared" si="5"/>
        <v>0</v>
      </c>
      <c r="AZ18" s="942">
        <f t="shared" si="5"/>
        <v>0</v>
      </c>
      <c r="BA18" s="902"/>
      <c r="BB18" s="942"/>
      <c r="BC18" s="950"/>
      <c r="BW18" s="909"/>
    </row>
    <row r="19" spans="1:75" ht="18.75" customHeight="1" thickTop="1" thickBot="1">
      <c r="A19" s="731"/>
      <c r="B19" s="731"/>
      <c r="C19" s="952" t="str">
        <f>DatosP!A19</f>
        <v>TOTAL JURISDICCIONES</v>
      </c>
      <c r="D19" s="952"/>
      <c r="E19" s="1177">
        <f t="shared" ref="E19:P19" si="6">SUBTOTAL(9,E9:E18)</f>
        <v>0</v>
      </c>
      <c r="F19" s="954">
        <f t="shared" si="6"/>
        <v>0</v>
      </c>
      <c r="G19" s="954">
        <f t="shared" si="6"/>
        <v>0</v>
      </c>
      <c r="H19" s="955">
        <f t="shared" si="6"/>
        <v>0</v>
      </c>
      <c r="I19" s="954">
        <f t="shared" si="6"/>
        <v>0</v>
      </c>
      <c r="J19" s="955">
        <f t="shared" si="6"/>
        <v>0</v>
      </c>
      <c r="K19" s="956">
        <f t="shared" si="6"/>
        <v>0</v>
      </c>
      <c r="L19" s="956">
        <f t="shared" si="6"/>
        <v>0</v>
      </c>
      <c r="M19" s="956">
        <f t="shared" si="6"/>
        <v>0</v>
      </c>
      <c r="N19" s="956">
        <f t="shared" si="6"/>
        <v>0</v>
      </c>
      <c r="O19" s="955">
        <f t="shared" si="6"/>
        <v>0</v>
      </c>
      <c r="P19" s="955">
        <f t="shared" si="6"/>
        <v>0</v>
      </c>
      <c r="Q19" s="1136">
        <f>IF(ISNUMBER(AVERAGE(Q8:Q18)),AVERAGE(Q8:Q18),"-")</f>
        <v>0</v>
      </c>
      <c r="R19" s="1136">
        <f>IF(ISNUMBER(AVERAGE(R8:R18)),AVERAGE(R8:R18),"-")</f>
        <v>0</v>
      </c>
      <c r="S19" s="955">
        <f>SUBTOTAL(9,S9:S18)</f>
        <v>0</v>
      </c>
      <c r="T19" s="1136">
        <f>IF(ISNUMBER(AVERAGE(T8:T18)),AVERAGE(T8:T18),"-")</f>
        <v>0</v>
      </c>
      <c r="U19" s="883">
        <f>SUBTOTAL(9,U9:U18)</f>
        <v>0</v>
      </c>
      <c r="V19" s="1013" t="e">
        <f>SUBTOTAL(9,V9:V18)</f>
        <v>#VALUE!</v>
      </c>
      <c r="W19" s="958">
        <f>SUBTOTAL(9,W9:W18)</f>
        <v>0</v>
      </c>
      <c r="X19" s="959" t="str">
        <f>IF(ISNUMBER(AVERAGE(X8:X18)),AVERAGE(X8:X18),"-")</f>
        <v>-</v>
      </c>
      <c r="Y19" s="960">
        <f t="shared" ref="Y19:AN19" si="7">SUBTOTAL(9,Y9:Y18)</f>
        <v>0</v>
      </c>
      <c r="Z19" s="960">
        <f t="shared" si="7"/>
        <v>0</v>
      </c>
      <c r="AA19" s="961">
        <f t="shared" si="7"/>
        <v>0</v>
      </c>
      <c r="AB19" s="961">
        <f t="shared" si="7"/>
        <v>0</v>
      </c>
      <c r="AC19" s="962">
        <f t="shared" si="7"/>
        <v>0</v>
      </c>
      <c r="AD19" s="958">
        <f t="shared" si="7"/>
        <v>0</v>
      </c>
      <c r="AE19" s="963">
        <f t="shared" si="7"/>
        <v>0</v>
      </c>
      <c r="AF19" s="962">
        <f t="shared" si="7"/>
        <v>0</v>
      </c>
      <c r="AG19" s="962">
        <f t="shared" si="7"/>
        <v>0</v>
      </c>
      <c r="AH19" s="962">
        <f t="shared" si="7"/>
        <v>0</v>
      </c>
      <c r="AI19" s="962">
        <f t="shared" si="7"/>
        <v>0</v>
      </c>
      <c r="AJ19" s="962">
        <f t="shared" si="7"/>
        <v>0</v>
      </c>
      <c r="AK19" s="954">
        <f t="shared" si="7"/>
        <v>0</v>
      </c>
      <c r="AL19" s="954">
        <f t="shared" si="7"/>
        <v>0</v>
      </c>
      <c r="AM19" s="954">
        <f t="shared" si="7"/>
        <v>0</v>
      </c>
      <c r="AN19" s="962">
        <f t="shared" si="7"/>
        <v>0</v>
      </c>
      <c r="AO19" s="962" t="str">
        <f>IF(ISNUMBER(DatosP!K19/DatosP!J19),DatosP!K19/DatosP!J19," - ")</f>
        <v xml:space="preserve"> - </v>
      </c>
      <c r="AP19" s="962" t="str">
        <f>IF(ISNUMBER(((DatosP!L19/DatosP!K19)*11)/factor_trimestre),((DatosP!L19/DatosP!K19)*11)/factor_trimestre," - ")</f>
        <v xml:space="preserve"> - </v>
      </c>
      <c r="AQ19" s="964" t="str">
        <f>IF(ISNUMBER(DatosP!M19/(IF(D_I="SI",DatosP!K19,DatosP!K19+DatosP!AE19))),DatosP!M19/(IF(D_I="SI",DatosP!K19,DatosP!K19+DatosP!AE19))," - ")</f>
        <v xml:space="preserve"> - </v>
      </c>
      <c r="AR19" s="965" t="str">
        <f>IF(ISNUMBER(DatosP!CI19/DatosP!CJ19),DatosP!CI19/DatosP!CJ19," - ")</f>
        <v xml:space="preserve"> - </v>
      </c>
      <c r="AS19" s="966" t="e">
        <f>IF(OR(ISNUMBER(FIND("01",Criterios!A8,1)),ISNUMBER(FIND("02",Criterios!A8,1)),ISNUMBER(FIND("03",Criterios!A8,1)),ISNUMBER(FIND("04",Criterios!A8,1))),(J19-Y19+K19)/(F19-K19),(I19-Y19+K19)/(F19-K19))</f>
        <v>#DIV/0!</v>
      </c>
      <c r="AT19" s="967" t="str">
        <f>IF(ISNUMBER((DatosP!P19-DatosP!Q19+P19)/(DatosP!R19-DatosP!P19+DatosP!Q19-P19)),(DatosP!P19-DatosP!Q19+P19)/(DatosP!R19-DatosP!P19+DatosP!Q19-P19)," - ")</f>
        <v xml:space="preserve"> - </v>
      </c>
      <c r="AU19" s="968">
        <f t="shared" ref="AU19:BA19" si="8">SUBTOTAL(9,AU9:AU18)</f>
        <v>0</v>
      </c>
      <c r="AV19" s="968">
        <f t="shared" si="8"/>
        <v>0</v>
      </c>
      <c r="AW19" s="969">
        <f t="shared" si="8"/>
        <v>0</v>
      </c>
      <c r="AX19" s="969">
        <f t="shared" si="8"/>
        <v>0</v>
      </c>
      <c r="AY19" s="969">
        <f t="shared" si="8"/>
        <v>0</v>
      </c>
      <c r="AZ19" s="969">
        <f t="shared" si="8"/>
        <v>0</v>
      </c>
      <c r="BA19" s="969">
        <f t="shared" si="8"/>
        <v>0</v>
      </c>
      <c r="BB19" s="970"/>
      <c r="BC19" s="971"/>
      <c r="BW19" s="922"/>
    </row>
    <row r="20" spans="1:75" ht="18.75" customHeight="1" thickTop="1" thickBot="1">
      <c r="A20" s="735"/>
      <c r="B20" s="735"/>
      <c r="C20" s="972" t="s">
        <v>264</v>
      </c>
      <c r="D20" s="973"/>
      <c r="E20" s="1178" t="str">
        <f ca="1">IF(ISNUMBER(SUMIF($B8:$B18,$B20,E8:E18)/INDIRECT("DatosP!AP"&amp;ROW()-1)),SUMIF($B8:$B18,$B20,E8:E18)/INDIRECT("DatosP!AP"&amp;ROW()-1),"-")</f>
        <v>-</v>
      </c>
      <c r="F20" s="964" t="str">
        <f ca="1">IF(ISNUMBER(SUMIF($B8:$B18,$B20,F8:F18)/INDIRECT("DatosP!AP"&amp;ROW()-1)),SUMIF($B8:$B18,$B20,F8:F18)/INDIRECT("DatosP!AP"&amp;ROW()-1),"-")</f>
        <v>-</v>
      </c>
      <c r="G20" s="974">
        <f>IF(ISNUMBER(AVERAGE(G8:G18)),AVERAGE(G8:G18),"-")</f>
        <v>0</v>
      </c>
      <c r="H20" s="975" t="str">
        <f t="shared" ref="H20:T20" ca="1" si="9">IF(ISNUMBER(SUMIF($B8:$B18,$B20,H8:H18)/INDIRECT("DatosP!AP"&amp;ROW()-1)),SUMIF($B8:$B18,$B20,H8:H18)/INDIRECT("DatosP!AP"&amp;ROW()-1),"-")</f>
        <v>-</v>
      </c>
      <c r="I20" s="964" t="str">
        <f t="shared" ca="1" si="9"/>
        <v>-</v>
      </c>
      <c r="J20" s="975" t="str">
        <f t="shared" ca="1" si="9"/>
        <v>-</v>
      </c>
      <c r="K20" s="975" t="str">
        <f t="shared" ca="1" si="9"/>
        <v>-</v>
      </c>
      <c r="L20" s="975" t="str">
        <f t="shared" ca="1" si="9"/>
        <v>-</v>
      </c>
      <c r="M20" s="975" t="str">
        <f t="shared" ca="1" si="9"/>
        <v>-</v>
      </c>
      <c r="N20" s="975" t="str">
        <f t="shared" ca="1" si="9"/>
        <v>-</v>
      </c>
      <c r="O20" s="975" t="str">
        <f t="shared" ca="1" si="9"/>
        <v>-</v>
      </c>
      <c r="P20" s="975" t="str">
        <f t="shared" ca="1" si="9"/>
        <v>-</v>
      </c>
      <c r="Q20" s="1137" t="str">
        <f t="shared" ca="1" si="9"/>
        <v>-</v>
      </c>
      <c r="R20" s="1137" t="str">
        <f t="shared" ca="1" si="9"/>
        <v>-</v>
      </c>
      <c r="S20" s="975" t="str">
        <f t="shared" ca="1" si="9"/>
        <v>-</v>
      </c>
      <c r="T20" s="1140" t="str">
        <f t="shared" ca="1" si="9"/>
        <v>-</v>
      </c>
      <c r="U20" s="818">
        <f ca="1">IF(ISNUMBER(SUMIF($B8:$B18,$B20,U8:U18)/INDIRECT("Datos!AP"&amp;ROW()-1)),SUMIF($B8:$B18,$B20,U8:U18)/INDIRECT("Datos!AP"&amp;ROW()-1),"-")</f>
        <v>0</v>
      </c>
      <c r="V20" s="1014">
        <f ca="1">IF(ISNUMBER(SUMIF($B8:$B18,$B20,V8:V18)/INDIRECT("Datos!AP"&amp;ROW()-1)),SUMIF($B8:$B18,$B20,V8:V18)/INDIRECT("Datos!AP"&amp;ROW()-1),"-")</f>
        <v>0</v>
      </c>
      <c r="W20" s="978" t="str">
        <f t="shared" ref="W20:AQ20" ca="1" si="10">IF(ISNUMBER(SUMIF($B8:$B18,$B20,W8:W18)/INDIRECT("DatosP!AP"&amp;ROW()-1)),SUMIF($B8:$B18,$B20,W8:W18)/INDIRECT("DatosP!AP"&amp;ROW()-1),"-")</f>
        <v>-</v>
      </c>
      <c r="X20" s="979" t="str">
        <f t="shared" ca="1" si="10"/>
        <v>-</v>
      </c>
      <c r="Y20" s="980" t="str">
        <f t="shared" ca="1" si="10"/>
        <v>-</v>
      </c>
      <c r="Z20" s="980" t="str">
        <f t="shared" ca="1" si="10"/>
        <v>-</v>
      </c>
      <c r="AA20" s="980" t="str">
        <f t="shared" ca="1" si="10"/>
        <v>-</v>
      </c>
      <c r="AB20" s="980" t="str">
        <f t="shared" ca="1" si="10"/>
        <v>-</v>
      </c>
      <c r="AC20" s="975" t="str">
        <f t="shared" ca="1" si="10"/>
        <v>-</v>
      </c>
      <c r="AD20" s="978" t="str">
        <f t="shared" ca="1" si="10"/>
        <v>-</v>
      </c>
      <c r="AE20" s="981" t="str">
        <f t="shared" ca="1" si="10"/>
        <v>-</v>
      </c>
      <c r="AF20" s="975" t="str">
        <f t="shared" ca="1" si="10"/>
        <v>-</v>
      </c>
      <c r="AG20" s="982" t="str">
        <f t="shared" ca="1" si="10"/>
        <v>-</v>
      </c>
      <c r="AH20" s="982" t="str">
        <f t="shared" ca="1" si="10"/>
        <v>-</v>
      </c>
      <c r="AI20" s="982" t="str">
        <f t="shared" ca="1" si="10"/>
        <v>-</v>
      </c>
      <c r="AJ20" s="982" t="str">
        <f t="shared" ca="1" si="10"/>
        <v>-</v>
      </c>
      <c r="AK20" s="964" t="str">
        <f t="shared" ca="1" si="10"/>
        <v>-</v>
      </c>
      <c r="AL20" s="964" t="str">
        <f t="shared" ca="1" si="10"/>
        <v>-</v>
      </c>
      <c r="AM20" s="964" t="str">
        <f t="shared" ca="1" si="10"/>
        <v>-</v>
      </c>
      <c r="AN20" s="975" t="str">
        <f t="shared" ca="1" si="10"/>
        <v>-</v>
      </c>
      <c r="AO20" s="975" t="str">
        <f t="shared" ca="1" si="10"/>
        <v>-</v>
      </c>
      <c r="AP20" s="975" t="str">
        <f t="shared" ca="1" si="10"/>
        <v>-</v>
      </c>
      <c r="AQ20" s="964" t="str">
        <f t="shared" ca="1" si="10"/>
        <v>-</v>
      </c>
      <c r="AR20" s="983" t="e">
        <f ca="1">INDIRECT("DatosP!CI"&amp;ROW()-1)/INDIRECT("DatosP!CJ"&amp;ROW()-1)</f>
        <v>#DIV/0!</v>
      </c>
      <c r="AS20" s="966" t="e">
        <f ca="1">IF(OR(ISNUMBER(FIND("01",Criterios!A8,1)),ISNUMBER(FIND("02",Criterios!A8,1)),ISNUMBER(FIND("03",Criterios!A8,1)),ISNUMBER(FIND("04",Criterios!A8,1))),(J20-Y20+K20)/(F20-K20),(I20-Y20+K20)/(F20-K20))</f>
        <v>#VALUE!</v>
      </c>
      <c r="AT20" s="984" t="str">
        <f ca="1">INDIRECT("AT"&amp;ROW()-1)</f>
        <v xml:space="preserve"> - </v>
      </c>
      <c r="AU20" s="985" t="str">
        <f t="shared" ref="AU20:BA20" ca="1" si="11">IF(ISNUMBER(SUMIF($B8:$B18,$B20,AU8:AU18)/INDIRECT("DatosP!AP"&amp;ROW()-1)),SUMIF($B8:$B18,$B20,AU8:AU18)/INDIRECT("DatosP!AP"&amp;ROW()-1),"-")</f>
        <v>-</v>
      </c>
      <c r="AV20" s="985" t="str">
        <f t="shared" ca="1" si="11"/>
        <v>-</v>
      </c>
      <c r="AW20" s="986" t="str">
        <f t="shared" ca="1" si="11"/>
        <v>-</v>
      </c>
      <c r="AX20" s="986" t="str">
        <f t="shared" ca="1" si="11"/>
        <v>-</v>
      </c>
      <c r="AY20" s="986" t="str">
        <f t="shared" ca="1" si="11"/>
        <v>-</v>
      </c>
      <c r="AZ20" s="986" t="str">
        <f t="shared" ca="1" si="11"/>
        <v>-</v>
      </c>
      <c r="BA20" s="986" t="str">
        <f t="shared" ca="1" si="11"/>
        <v>-</v>
      </c>
      <c r="BB20" s="986"/>
      <c r="BC20" s="987"/>
      <c r="BW20" s="930"/>
    </row>
    <row r="21" spans="1:75" ht="18.75" hidden="1" customHeight="1" thickTop="1" thickBot="1">
      <c r="A21" s="736"/>
      <c r="B21" s="736"/>
      <c r="C21" s="736" t="s">
        <v>265</v>
      </c>
      <c r="D21" s="737"/>
      <c r="E21" s="738">
        <f>IF(ISNUMBER(STDEV(E8:E18)),STDEV(E8:E18),"-")</f>
        <v>0</v>
      </c>
      <c r="F21" s="739">
        <f>IF(ISNUMBER(STDEV(F8:F18)),STDEV(F8:F18),"-")</f>
        <v>0</v>
      </c>
      <c r="G21" s="740">
        <f>IF(ISNUMBER(STDEV(G8:G18)),STDEV(G8:G18),"-")</f>
        <v>0</v>
      </c>
      <c r="H21" s="741"/>
      <c r="I21" s="739">
        <f>IF(ISNUMBER(STDEV(I8:I18)),STDEV(I8:I18),"-")</f>
        <v>0</v>
      </c>
      <c r="J21" s="742">
        <f>IF(ISNUMBER(STDEV(J8:J18)),STDEV(J8:J18),"-")</f>
        <v>0</v>
      </c>
      <c r="K21" s="741"/>
      <c r="L21" s="741"/>
      <c r="M21" s="741"/>
      <c r="N21" s="741"/>
      <c r="O21" s="741"/>
      <c r="P21" s="741"/>
      <c r="Q21" s="1138"/>
      <c r="R21" s="1138"/>
      <c r="S21" s="741"/>
      <c r="T21" s="1138"/>
      <c r="U21" s="304"/>
      <c r="V21" s="1015"/>
      <c r="W21" s="739">
        <f>IF(ISNUMBER(STDEV(W8:W18)),STDEV(W8:W18),"-")</f>
        <v>0</v>
      </c>
      <c r="X21" s="743" t="str">
        <f>IF(ISNUMBER(STDEV(X8:X18)),STDEV(X8:X18),"-")</f>
        <v>-</v>
      </c>
      <c r="Y21" s="741">
        <f>IF(ISNUMBER(STDEV(Y8:Y18)),STDEV(Y8:Y18),"-")</f>
        <v>0</v>
      </c>
      <c r="Z21" s="744"/>
      <c r="AA21" s="744"/>
      <c r="AB21" s="744"/>
      <c r="AC21" s="745">
        <f>IF(ISNUMBER(STDEV(AC8:AC18)),STDEV(AC8:AC18),"-")</f>
        <v>0</v>
      </c>
      <c r="AD21" s="746">
        <f>IF(ISNUMBER(STDEV(AD8:AD18)),STDEV(AD8:AD18),"-")</f>
        <v>0</v>
      </c>
      <c r="AE21" s="744">
        <f>IF(ISNUMBER(STDEV(AE8:AE18)),STDEV(AE8:AE18),"-")</f>
        <v>0</v>
      </c>
      <c r="AF21" s="747"/>
      <c r="AG21" s="747"/>
      <c r="AH21" s="747"/>
      <c r="AI21" s="747"/>
      <c r="AJ21" s="747"/>
      <c r="AK21" s="739">
        <f>IF(ISNUMBER(STDEV(AK8:AK18)),STDEV(AK8:AK18),"-")</f>
        <v>0</v>
      </c>
      <c r="AL21" s="739"/>
      <c r="AM21" s="739">
        <f>IF(ISNUMBER(STDEV(AM8:AM18)),STDEV(AM8:AM18),"-")</f>
        <v>0</v>
      </c>
      <c r="AN21" s="745">
        <f>IF(ISNUMBER(STDEV(AN8:AN18)),STDEV(AN8:AN18),"-")</f>
        <v>0</v>
      </c>
      <c r="AO21" s="781" t="str">
        <f>IF(ISNUMBER(STDEV(AO8:AO18)),STDEV(AO8:AO18),"-")</f>
        <v>-</v>
      </c>
      <c r="AP21" s="782" t="str">
        <f>IF(ISNUMBER(STDEV(AP8:AP18)),STDEV(AP8:AP18),"-")</f>
        <v>-</v>
      </c>
      <c r="AQ21" s="748">
        <f>IF(ISNUMBER(STDEV(AQ8:AQ18)),STDEV(AQ8:AQ18),"-")</f>
        <v>0.18955810263176634</v>
      </c>
      <c r="AR21" s="697" t="str">
        <f>IF(ISNUMBER(AS21/AT21),AS21/AT21," - ")</f>
        <v xml:space="preserve"> - </v>
      </c>
      <c r="AS21" s="749" t="str">
        <f>IF(ISNUMBER(STDEV(AS8:AS18)),STDEV(AS8:AS18),"-")</f>
        <v>-</v>
      </c>
      <c r="AT21" s="750"/>
      <c r="AU21" s="751"/>
      <c r="AV21" s="751"/>
      <c r="AW21" s="752">
        <f>IF(ISNUMBER(STDEV(AW8:AW18)),STDEV(AW8:AW18),"-")</f>
        <v>0</v>
      </c>
      <c r="AX21" s="752">
        <f>IF(ISNUMBER(STDEV(AX8:AX18)),STDEV(AX8:AX18),"-")</f>
        <v>0</v>
      </c>
      <c r="AY21" s="752"/>
      <c r="AZ21" s="752"/>
      <c r="BA21" s="752" t="str">
        <f>IF(ISNUMBER(STDEV(BA8:BA18)),STDEV(BA8:BA18),"-")</f>
        <v>-</v>
      </c>
      <c r="BB21" s="753">
        <f>IF(ISNUMBER(STDEV(BB8:BB18)),STDEV(BB8:BB18),"-")</f>
        <v>0</v>
      </c>
      <c r="BC21" s="754">
        <f>IF(ISNUMBER(STDEV(BC8:BC18)),STDEV(BC8:BC18),"-")</f>
        <v>0</v>
      </c>
      <c r="BW21" s="566">
        <f>IF(ISNUMBER(STDEV(BW8:BW18)),STDEV(BW8:BW18),"-")</f>
        <v>0</v>
      </c>
    </row>
    <row r="22" spans="1:75" ht="12" customHeight="1" thickTop="1">
      <c r="C22" s="71"/>
      <c r="D22" s="71"/>
      <c r="F22" s="755"/>
      <c r="G22" s="755"/>
      <c r="H22" s="755"/>
      <c r="I22" s="755"/>
      <c r="K22" s="755"/>
      <c r="L22" s="755"/>
      <c r="M22" s="756"/>
      <c r="N22" s="756"/>
      <c r="O22" s="755"/>
      <c r="P22" s="755"/>
      <c r="Q22" s="1139"/>
      <c r="R22" s="1139"/>
      <c r="S22" s="755"/>
      <c r="T22" s="1139"/>
      <c r="U22" s="95"/>
      <c r="V22" s="1016"/>
      <c r="W22" s="755"/>
      <c r="X22" s="757"/>
      <c r="Y22" s="755"/>
      <c r="Z22" s="755"/>
      <c r="AA22" s="755"/>
      <c r="AB22" s="755"/>
      <c r="AC22" s="755"/>
      <c r="AD22" s="755"/>
      <c r="AE22" s="755"/>
      <c r="AF22" s="755"/>
      <c r="AG22" s="755"/>
      <c r="AH22" s="755"/>
      <c r="AI22" s="755"/>
      <c r="AJ22" s="755"/>
      <c r="AK22" s="755"/>
      <c r="AL22" s="755"/>
      <c r="AM22" s="755"/>
      <c r="AN22" s="755"/>
      <c r="AO22" s="755"/>
      <c r="AP22" s="755"/>
      <c r="AQ22" s="755"/>
      <c r="AR22" s="757"/>
      <c r="AS22" s="755" t="s">
        <v>424</v>
      </c>
      <c r="AT22" s="758"/>
      <c r="AU22" s="759"/>
      <c r="AV22" s="759"/>
      <c r="AW22" s="755"/>
      <c r="AX22" s="755"/>
      <c r="AY22" s="755"/>
      <c r="AZ22" s="755"/>
      <c r="BA22" s="567"/>
      <c r="BB22" s="760"/>
      <c r="BC22" s="755"/>
      <c r="BW22" s="567"/>
    </row>
    <row r="23" spans="1:75" ht="14.25">
      <c r="C23" s="163"/>
      <c r="D23" s="521"/>
      <c r="E23" s="761"/>
      <c r="F23" s="762"/>
      <c r="G23" s="693"/>
      <c r="H23" s="763"/>
      <c r="I23" s="763"/>
      <c r="J23" s="764"/>
      <c r="K23" s="763"/>
      <c r="L23" s="763"/>
      <c r="M23" s="729"/>
      <c r="N23" s="729"/>
      <c r="O23" s="763"/>
      <c r="P23" s="763"/>
      <c r="Q23" s="1132"/>
      <c r="R23" s="1132"/>
      <c r="S23" s="763"/>
      <c r="T23" s="1132"/>
      <c r="U23" s="305"/>
      <c r="V23" s="1017"/>
      <c r="W23" s="729"/>
      <c r="X23" s="689"/>
      <c r="Y23" s="763"/>
      <c r="Z23" s="765"/>
      <c r="AA23" s="675"/>
      <c r="AB23" s="765"/>
      <c r="AC23" s="763"/>
      <c r="AD23" s="763"/>
      <c r="AE23" s="763"/>
      <c r="AF23" s="763"/>
      <c r="AG23" s="763"/>
      <c r="AH23" s="763"/>
      <c r="AI23" s="763"/>
      <c r="AJ23" s="763"/>
      <c r="AK23" s="763"/>
      <c r="AL23" s="763"/>
      <c r="AM23" s="763"/>
      <c r="AN23" s="763"/>
      <c r="AO23" s="763"/>
      <c r="AP23" s="763"/>
      <c r="AQ23" s="763"/>
      <c r="AR23" s="689"/>
      <c r="AS23" s="689"/>
      <c r="AT23" s="703"/>
      <c r="AU23" s="766"/>
      <c r="AV23" s="766"/>
      <c r="AW23" s="763"/>
      <c r="AX23" s="763"/>
      <c r="AY23" s="763"/>
      <c r="AZ23" s="763"/>
      <c r="BA23" s="572"/>
      <c r="BB23" s="767"/>
      <c r="BC23" s="767"/>
      <c r="BW23" s="574"/>
    </row>
    <row r="24" spans="1:75" ht="14.25">
      <c r="C24" s="7"/>
      <c r="D24" s="524"/>
      <c r="E24" s="761"/>
      <c r="F24" s="762"/>
      <c r="G24" s="693"/>
      <c r="H24" s="763"/>
      <c r="I24" s="763"/>
      <c r="J24" s="764"/>
      <c r="K24" s="763"/>
      <c r="L24" s="763"/>
      <c r="M24" s="729"/>
      <c r="N24" s="729"/>
      <c r="O24" s="763"/>
      <c r="P24" s="763"/>
      <c r="Q24" s="1132"/>
      <c r="R24" s="1132"/>
      <c r="S24" s="763"/>
      <c r="T24" s="1132"/>
      <c r="U24" s="305"/>
      <c r="V24" s="1017"/>
      <c r="W24" s="729"/>
      <c r="X24" s="689"/>
      <c r="Y24" s="763"/>
      <c r="Z24" s="765"/>
      <c r="AA24" s="675"/>
      <c r="AB24" s="765"/>
      <c r="AC24" s="763"/>
      <c r="AD24" s="763"/>
      <c r="AE24" s="763"/>
      <c r="AF24" s="763"/>
      <c r="AG24" s="763"/>
      <c r="AH24" s="763"/>
      <c r="AI24" s="763"/>
      <c r="AJ24" s="763"/>
      <c r="AK24" s="763"/>
      <c r="AL24" s="763"/>
      <c r="AM24" s="763"/>
      <c r="AN24" s="763"/>
      <c r="AO24" s="763"/>
      <c r="AP24" s="763"/>
      <c r="AQ24" s="763"/>
      <c r="AR24" s="689"/>
      <c r="AS24" s="689"/>
      <c r="AT24" s="703"/>
      <c r="AU24" s="766"/>
      <c r="AV24" s="766"/>
      <c r="AW24" s="763"/>
      <c r="AX24" s="763"/>
      <c r="AY24" s="763"/>
      <c r="AZ24" s="763"/>
      <c r="BA24" s="572"/>
      <c r="BB24" s="767"/>
      <c r="BC24" s="767"/>
      <c r="BW24" s="574"/>
    </row>
    <row r="25" spans="1:75" ht="12.75" hidden="1" customHeight="1">
      <c r="C25" s="525" t="s">
        <v>262</v>
      </c>
      <c r="D25" s="524"/>
      <c r="E25" s="730">
        <f t="shared" ref="E25:AV25" si="12">E23+2*E24</f>
        <v>0</v>
      </c>
      <c r="F25" s="730">
        <f t="shared" si="12"/>
        <v>0</v>
      </c>
      <c r="G25" s="727">
        <f t="shared" si="12"/>
        <v>0</v>
      </c>
      <c r="H25" s="768">
        <f>H23+2*H24</f>
        <v>0</v>
      </c>
      <c r="I25" s="768">
        <f t="shared" si="12"/>
        <v>0</v>
      </c>
      <c r="J25" s="769">
        <f>J23+2*J24</f>
        <v>0</v>
      </c>
      <c r="K25" s="768">
        <f t="shared" si="12"/>
        <v>0</v>
      </c>
      <c r="L25" s="768">
        <f t="shared" si="12"/>
        <v>0</v>
      </c>
      <c r="M25" s="768">
        <f t="shared" si="12"/>
        <v>0</v>
      </c>
      <c r="N25" s="768">
        <f t="shared" si="12"/>
        <v>0</v>
      </c>
      <c r="O25" s="768">
        <f t="shared" si="12"/>
        <v>0</v>
      </c>
      <c r="P25" s="768">
        <f t="shared" si="12"/>
        <v>0</v>
      </c>
      <c r="Q25" s="770">
        <f t="shared" si="12"/>
        <v>0</v>
      </c>
      <c r="R25" s="770">
        <f t="shared" si="12"/>
        <v>0</v>
      </c>
      <c r="S25" s="768">
        <f t="shared" si="12"/>
        <v>0</v>
      </c>
      <c r="T25" s="771">
        <f t="shared" si="12"/>
        <v>0</v>
      </c>
      <c r="U25" s="791">
        <f t="shared" si="12"/>
        <v>0</v>
      </c>
      <c r="V25" s="771">
        <f t="shared" si="12"/>
        <v>0</v>
      </c>
      <c r="W25" s="727">
        <f t="shared" si="12"/>
        <v>0</v>
      </c>
      <c r="X25" s="772">
        <f t="shared" si="12"/>
        <v>0</v>
      </c>
      <c r="Y25" s="727">
        <f t="shared" si="12"/>
        <v>0</v>
      </c>
      <c r="Z25" s="727">
        <f t="shared" si="12"/>
        <v>0</v>
      </c>
      <c r="AA25" s="727">
        <f t="shared" si="12"/>
        <v>0</v>
      </c>
      <c r="AB25" s="727">
        <f t="shared" si="12"/>
        <v>0</v>
      </c>
      <c r="AC25" s="727">
        <f t="shared" si="12"/>
        <v>0</v>
      </c>
      <c r="AD25" s="727">
        <f t="shared" si="12"/>
        <v>0</v>
      </c>
      <c r="AE25" s="727">
        <f t="shared" si="12"/>
        <v>0</v>
      </c>
      <c r="AF25" s="727">
        <f t="shared" si="12"/>
        <v>0</v>
      </c>
      <c r="AG25" s="727">
        <f t="shared" si="12"/>
        <v>0</v>
      </c>
      <c r="AH25" s="727">
        <f t="shared" si="12"/>
        <v>0</v>
      </c>
      <c r="AI25" s="727">
        <f t="shared" si="12"/>
        <v>0</v>
      </c>
      <c r="AJ25" s="727">
        <f t="shared" si="12"/>
        <v>0</v>
      </c>
      <c r="AK25" s="727">
        <f t="shared" si="12"/>
        <v>0</v>
      </c>
      <c r="AL25" s="727">
        <f t="shared" si="12"/>
        <v>0</v>
      </c>
      <c r="AM25" s="727">
        <f t="shared" si="12"/>
        <v>0</v>
      </c>
      <c r="AN25" s="727">
        <f t="shared" si="12"/>
        <v>0</v>
      </c>
      <c r="AO25" s="773">
        <f t="shared" si="12"/>
        <v>0</v>
      </c>
      <c r="AP25" s="773">
        <f t="shared" si="12"/>
        <v>0</v>
      </c>
      <c r="AQ25" s="773">
        <f>AQ23+2*AQ24</f>
        <v>0</v>
      </c>
      <c r="AR25" s="772">
        <f t="shared" si="12"/>
        <v>0</v>
      </c>
      <c r="AS25" s="774">
        <f t="shared" si="12"/>
        <v>0</v>
      </c>
      <c r="AT25" s="774">
        <f t="shared" si="12"/>
        <v>0</v>
      </c>
      <c r="AU25" s="727">
        <f t="shared" si="12"/>
        <v>0</v>
      </c>
      <c r="AV25" s="727">
        <f t="shared" si="12"/>
        <v>0</v>
      </c>
      <c r="AW25" s="727">
        <f>AW23+2*AW24</f>
        <v>0</v>
      </c>
      <c r="AX25" s="727">
        <f>AX23+2*AX24</f>
        <v>0</v>
      </c>
      <c r="AY25" s="727">
        <f>AY23+2*AY24</f>
        <v>0</v>
      </c>
      <c r="AZ25" s="727">
        <f>AZ23+2*AZ24</f>
        <v>0</v>
      </c>
      <c r="BA25" s="727">
        <f>BA23+2*BA24</f>
        <v>0</v>
      </c>
      <c r="BB25" s="727">
        <f>(BB23-ultimoDiaTrim)+2*BB24</f>
        <v>0</v>
      </c>
      <c r="BC25" s="775"/>
      <c r="BW25" s="529"/>
    </row>
    <row r="26" spans="1:75" ht="12.75" hidden="1" customHeight="1">
      <c r="C26" s="525" t="s">
        <v>263</v>
      </c>
      <c r="D26" s="524"/>
      <c r="E26" s="730">
        <f t="shared" ref="E26:AV26" si="13">MIN(0,E23-2*E24)</f>
        <v>0</v>
      </c>
      <c r="F26" s="730">
        <f t="shared" si="13"/>
        <v>0</v>
      </c>
      <c r="G26" s="727">
        <f t="shared" si="13"/>
        <v>0</v>
      </c>
      <c r="H26" s="727">
        <f>MIN(0,H23-2*H24)</f>
        <v>0</v>
      </c>
      <c r="I26" s="727">
        <f t="shared" si="13"/>
        <v>0</v>
      </c>
      <c r="J26" s="776">
        <f>MIN(0,J23-2*J24)</f>
        <v>0</v>
      </c>
      <c r="K26" s="727">
        <f t="shared" si="13"/>
        <v>0</v>
      </c>
      <c r="L26" s="727">
        <f t="shared" si="13"/>
        <v>0</v>
      </c>
      <c r="M26" s="727">
        <f t="shared" si="13"/>
        <v>0</v>
      </c>
      <c r="N26" s="727">
        <f t="shared" si="13"/>
        <v>0</v>
      </c>
      <c r="O26" s="727">
        <f t="shared" si="13"/>
        <v>0</v>
      </c>
      <c r="P26" s="727">
        <f t="shared" si="13"/>
        <v>0</v>
      </c>
      <c r="Q26" s="772">
        <f t="shared" si="13"/>
        <v>0</v>
      </c>
      <c r="R26" s="772">
        <f t="shared" si="13"/>
        <v>0</v>
      </c>
      <c r="S26" s="727">
        <f t="shared" si="13"/>
        <v>0</v>
      </c>
      <c r="T26" s="774">
        <f t="shared" si="13"/>
        <v>0</v>
      </c>
      <c r="U26" s="792">
        <f t="shared" si="13"/>
        <v>0</v>
      </c>
      <c r="V26" s="774">
        <f t="shared" si="13"/>
        <v>0</v>
      </c>
      <c r="W26" s="727">
        <f t="shared" si="13"/>
        <v>0</v>
      </c>
      <c r="X26" s="772">
        <f t="shared" si="13"/>
        <v>0</v>
      </c>
      <c r="Y26" s="727">
        <f t="shared" si="13"/>
        <v>0</v>
      </c>
      <c r="Z26" s="727">
        <f t="shared" si="13"/>
        <v>0</v>
      </c>
      <c r="AA26" s="727">
        <f t="shared" si="13"/>
        <v>0</v>
      </c>
      <c r="AB26" s="727">
        <f t="shared" si="13"/>
        <v>0</v>
      </c>
      <c r="AC26" s="727">
        <f t="shared" si="13"/>
        <v>0</v>
      </c>
      <c r="AD26" s="727">
        <f t="shared" si="13"/>
        <v>0</v>
      </c>
      <c r="AE26" s="727">
        <f t="shared" si="13"/>
        <v>0</v>
      </c>
      <c r="AF26" s="727">
        <f t="shared" si="13"/>
        <v>0</v>
      </c>
      <c r="AG26" s="727">
        <f t="shared" si="13"/>
        <v>0</v>
      </c>
      <c r="AH26" s="727">
        <f t="shared" si="13"/>
        <v>0</v>
      </c>
      <c r="AI26" s="727">
        <f t="shared" si="13"/>
        <v>0</v>
      </c>
      <c r="AJ26" s="727">
        <f t="shared" si="13"/>
        <v>0</v>
      </c>
      <c r="AK26" s="727">
        <f t="shared" si="13"/>
        <v>0</v>
      </c>
      <c r="AL26" s="727">
        <f t="shared" si="13"/>
        <v>0</v>
      </c>
      <c r="AM26" s="727">
        <f t="shared" si="13"/>
        <v>0</v>
      </c>
      <c r="AN26" s="727">
        <f t="shared" si="13"/>
        <v>0</v>
      </c>
      <c r="AO26" s="773">
        <f t="shared" si="13"/>
        <v>0</v>
      </c>
      <c r="AP26" s="773">
        <f t="shared" si="13"/>
        <v>0</v>
      </c>
      <c r="AQ26" s="773">
        <f>MIN(0,AQ23-2*AQ24)</f>
        <v>0</v>
      </c>
      <c r="AR26" s="772">
        <f t="shared" si="13"/>
        <v>0</v>
      </c>
      <c r="AS26" s="774">
        <f t="shared" si="13"/>
        <v>0</v>
      </c>
      <c r="AT26" s="774">
        <f t="shared" si="13"/>
        <v>0</v>
      </c>
      <c r="AU26" s="727">
        <f t="shared" si="13"/>
        <v>0</v>
      </c>
      <c r="AV26" s="727">
        <f t="shared" si="13"/>
        <v>0</v>
      </c>
      <c r="AW26" s="727">
        <f>MIN(0,AW23-2*AW24)</f>
        <v>0</v>
      </c>
      <c r="AX26" s="727">
        <f>MIN(0,AX23-2*AX24)</f>
        <v>0</v>
      </c>
      <c r="AY26" s="727">
        <f>MIN(0,AY23-2*AY24)</f>
        <v>0</v>
      </c>
      <c r="AZ26" s="727">
        <f>MIN(0,AZ23-2*AZ24)</f>
        <v>0</v>
      </c>
      <c r="BA26" s="727">
        <f>MIN(0,BA23-2*BA24)</f>
        <v>0</v>
      </c>
      <c r="BB26" s="727">
        <f>MIN(0,(BB23-ultimoDiaTrim)-2*BB24)</f>
        <v>0</v>
      </c>
      <c r="BC26" s="775"/>
      <c r="BW26" s="529"/>
    </row>
    <row r="27" spans="1:75">
      <c r="C27" s="71"/>
      <c r="D27" s="71"/>
    </row>
    <row r="30" spans="1:75">
      <c r="C30" s="648" t="str">
        <f>Criterios!A4</f>
        <v>Fecha Informe: 03 may. 2024</v>
      </c>
    </row>
    <row r="32" spans="1:75">
      <c r="C32" s="777"/>
      <c r="D32" s="777"/>
    </row>
  </sheetData>
  <sheetProtection algorithmName="SHA-512" hashValue="RRCk3ZZj2mRkm0eCN49DI3z1kPqGtb27ifvnRu473s4gehD42rJjIUCUDLC6bJJwBJls4EmReSgNzTdw9sMGaA==" saltValue="Gc5S4LDhw+btraz6TH7kC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41" customWidth="1"/>
    <col min="4" max="4" width="15" style="1141" customWidth="1"/>
    <col min="5" max="5" width="11.42578125" style="1150"/>
  </cols>
  <sheetData>
    <row r="1" spans="2:5" ht="83.25" customHeight="1"/>
    <row r="2" spans="2:5">
      <c r="B2" s="1142" t="s">
        <v>817</v>
      </c>
    </row>
    <row r="3" spans="2:5" ht="16.5" customHeight="1" thickBot="1">
      <c r="B3" s="1143" t="s">
        <v>818</v>
      </c>
      <c r="C3" s="1143" t="s">
        <v>819</v>
      </c>
      <c r="D3" s="1143" t="s">
        <v>820</v>
      </c>
      <c r="E3" s="1151" t="s">
        <v>825</v>
      </c>
    </row>
  </sheetData>
  <sheetProtection algorithmName="SHA-512" hashValue="Ux+l1AHD6Bsz/o9Qmu3WbI07/3b7yxpGVnFFXphutyDhv3iB6XmbM/yOGuVneQyp7uU4ARX3WjVONjqUYYAV/g==" saltValue="JhzAKabW9PDlSG9D6EG+g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AR13"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 style="648" customWidth="1"/>
    <col min="9" max="9" width="14.42578125" style="649" customWidth="1"/>
    <col min="10" max="11" width="14.28515625" style="648" customWidth="1"/>
    <col min="12" max="13" width="14.28515625" style="650" customWidth="1"/>
    <col min="14" max="15" width="14.7109375" style="648" customWidth="1"/>
    <col min="16" max="16" width="14.28515625" style="648" customWidth="1"/>
    <col min="17" max="18" width="14.28515625" style="651" customWidth="1"/>
    <col min="19" max="20" width="14.28515625" style="648" customWidth="1"/>
    <col min="21" max="22" width="14.28515625" style="651" customWidth="1"/>
    <col min="23" max="24" width="14.140625" style="648" customWidth="1"/>
    <col min="25" max="25" width="14.28515625" style="784" customWidth="1"/>
    <col min="26" max="26" width="12.85546875" style="648" customWidth="1"/>
    <col min="27" max="27" width="14.28515625" style="651" customWidth="1"/>
    <col min="28" max="29" width="14.85546875" style="648" customWidth="1"/>
    <col min="30" max="31" width="16.28515625" style="648" customWidth="1"/>
    <col min="32" max="33" width="14.28515625" style="648" customWidth="1"/>
    <col min="34" max="35" width="16.28515625" style="648" customWidth="1"/>
    <col min="36" max="36" width="12.5703125" style="648" customWidth="1"/>
    <col min="37" max="37" width="13" style="648" customWidth="1"/>
    <col min="38" max="39" width="12.85546875" style="648" customWidth="1"/>
    <col min="40" max="41" width="11.42578125" style="648"/>
    <col min="42" max="43" width="12.28515625" style="648" customWidth="1"/>
    <col min="44" max="45" width="16.140625" style="651" customWidth="1"/>
    <col min="46" max="49" width="14.5703125" style="648" customWidth="1"/>
    <col min="50" max="51" width="13.42578125" style="648" customWidth="1"/>
    <col min="52" max="54" width="14.85546875" style="648" customWidth="1"/>
    <col min="55" max="56" width="14.42578125" hidden="1" customWidth="1"/>
    <col min="57" max="57" width="15.85546875" style="648" hidden="1" customWidth="1"/>
    <col min="58" max="65" width="11.42578125" style="648" hidden="1" customWidth="1"/>
    <col min="66" max="16384" width="11.42578125" style="648"/>
  </cols>
  <sheetData>
    <row r="1" spans="1:65">
      <c r="C1" s="647" t="str">
        <f>Criterios!A9 &amp;"  "&amp;Criterios!B9</f>
        <v>Tribunales de Justicia  ASTURIAS</v>
      </c>
      <c r="W1"/>
      <c r="X1"/>
    </row>
    <row r="2" spans="1:65" ht="16.5" customHeight="1">
      <c r="C2" s="491" t="str">
        <f>Criterios!A10 &amp;"  "&amp;Criterios!B10 &amp; "  " &amp; IF(NOT(ISBLANK(Criterios!A11)),Criterios!A11 &amp;"  "&amp;Criterios!B11,"")</f>
        <v>Provincias  ASTURIAS  Resumenes por Partidos Judiciales  LENA</v>
      </c>
      <c r="D2" s="647"/>
      <c r="E2" s="652"/>
      <c r="F2" s="652"/>
      <c r="G2" s="653"/>
      <c r="H2" s="652"/>
      <c r="I2" s="654"/>
      <c r="J2" s="652"/>
      <c r="K2" s="652"/>
      <c r="L2" s="655"/>
      <c r="M2" s="655"/>
      <c r="N2" s="652"/>
      <c r="O2" s="652"/>
      <c r="S2" s="652"/>
      <c r="T2" s="652"/>
      <c r="U2" s="656"/>
      <c r="V2" s="656"/>
      <c r="W2" s="652"/>
      <c r="X2" s="652"/>
      <c r="Y2" s="785"/>
      <c r="BC2" s="265"/>
      <c r="BD2" s="265"/>
      <c r="BE2" s="652"/>
    </row>
    <row r="3" spans="1:65" ht="16.5" customHeight="1">
      <c r="C3" s="657"/>
      <c r="D3" s="658"/>
      <c r="G3" s="653"/>
      <c r="H3" s="652"/>
      <c r="W3"/>
      <c r="X3"/>
    </row>
    <row r="4" spans="1:65" ht="16.5" customHeight="1" thickBot="1">
      <c r="C4" s="657"/>
      <c r="D4" s="659"/>
      <c r="E4" s="660"/>
      <c r="F4" s="660"/>
      <c r="G4" s="660"/>
      <c r="H4" s="660"/>
      <c r="I4" s="661"/>
      <c r="J4" s="660"/>
      <c r="K4" s="660"/>
      <c r="L4" s="655"/>
      <c r="M4" s="660"/>
      <c r="N4" s="660"/>
      <c r="O4" s="660"/>
      <c r="P4" s="660"/>
      <c r="Q4" s="656"/>
      <c r="R4" s="656"/>
      <c r="S4" s="660"/>
      <c r="T4" s="660"/>
      <c r="U4" s="660"/>
      <c r="V4" s="660"/>
      <c r="W4" s="660"/>
      <c r="X4" s="660"/>
      <c r="Y4" s="785"/>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c r="BC4" s="333"/>
      <c r="BD4" s="333"/>
      <c r="BE4" s="660"/>
    </row>
    <row r="5" spans="1:65" ht="15.75" customHeight="1">
      <c r="A5" s="1276" t="s">
        <v>351</v>
      </c>
      <c r="B5" s="275"/>
      <c r="C5" s="1276" t="str">
        <f>"Año:  " &amp;Criterios!B$5 &amp; "          Trimestre   " &amp;Criterios!D$5 &amp; " al " &amp;Criterios!D$6</f>
        <v>Año:  2023          Trimestre   1 al 4</v>
      </c>
      <c r="D5" s="1483" t="s">
        <v>424</v>
      </c>
      <c r="E5" s="1483" t="s">
        <v>560</v>
      </c>
      <c r="F5" s="1512" t="s">
        <v>406</v>
      </c>
      <c r="G5" s="1483" t="s">
        <v>128</v>
      </c>
      <c r="H5" s="1483" t="s">
        <v>693</v>
      </c>
      <c r="I5" s="1483" t="s">
        <v>694</v>
      </c>
      <c r="J5" s="1483" t="s">
        <v>697</v>
      </c>
      <c r="K5" s="1483" t="s">
        <v>698</v>
      </c>
      <c r="L5" s="1483" t="s">
        <v>588</v>
      </c>
      <c r="M5" s="1483" t="s">
        <v>719</v>
      </c>
      <c r="N5" s="1483" t="s">
        <v>699</v>
      </c>
      <c r="O5" s="1483" t="s">
        <v>695</v>
      </c>
      <c r="P5" s="1483" t="s">
        <v>168</v>
      </c>
      <c r="Q5" s="1483" t="s">
        <v>676</v>
      </c>
      <c r="R5" s="1483" t="s">
        <v>720</v>
      </c>
      <c r="S5" s="1483" t="str">
        <f>"Ingreso Computable 2003" &amp; IF(OR(EXACT(LEFT(boletin,2),"04"),EXACT(LEFT(boletin,2),"14"),EXACT(LEFT(boletin,2),"17"))," (Civil + Penal)","")</f>
        <v>Ingreso Computable 2003</v>
      </c>
      <c r="T5" s="1483" t="s">
        <v>696</v>
      </c>
      <c r="U5" s="1518" t="str">
        <f>"% Ingreso Computable 2003" &amp; IF(OR(EXACT(LEFT(boletin,2),"04"),EXACT(LEFT(boletin,2),"14"),EXACT(LEFT(boletin,2),"17"))," (Civil + Penal)","")</f>
        <v>% Ingreso Computable 2003</v>
      </c>
      <c r="V5" s="1518" t="s">
        <v>700</v>
      </c>
      <c r="W5" s="1483" t="s">
        <v>765</v>
      </c>
      <c r="X5" s="1483" t="s">
        <v>766</v>
      </c>
      <c r="Y5" s="1486" t="s">
        <v>667</v>
      </c>
      <c r="Z5" s="1542" t="str">
        <f>"RESOLUCION Nº  H/P" &amp; IF(OR(EXACT(LEFT(boletin,2),"04"),EXACT(LEFT(boletin,2),"14"),EXACT(LEFT(boletin,2),"17"))," (Civil + Penal)","")</f>
        <v>RESOLUCION Nº  H/P</v>
      </c>
      <c r="AA5" s="1545" t="str">
        <f>" % S/Iindicador  De  Resolución (Horas punto)" &amp; IF(OR(EXACT(LEFT(boletin,2),"04"),EXACT(LEFT(boletin,2),"14"),EXACT(LEFT(boletin,2),"17"))," (Civil + Penal)","")</f>
        <v xml:space="preserve"> % S/Iindicador  De  Resolución (Horas punto)</v>
      </c>
      <c r="AB5" s="1542" t="s">
        <v>701</v>
      </c>
      <c r="AC5" s="1542" t="s">
        <v>702</v>
      </c>
      <c r="AD5" s="1542" t="s">
        <v>703</v>
      </c>
      <c r="AE5" s="1542" t="s">
        <v>704</v>
      </c>
      <c r="AF5" s="1483" t="s">
        <v>705</v>
      </c>
      <c r="AG5" s="1483" t="s">
        <v>706</v>
      </c>
      <c r="AH5" s="1483" t="s">
        <v>707</v>
      </c>
      <c r="AI5" s="1483" t="s">
        <v>708</v>
      </c>
      <c r="AJ5" s="1483" t="s">
        <v>182</v>
      </c>
      <c r="AK5" s="1495" t="s">
        <v>539</v>
      </c>
      <c r="AL5" s="1495" t="s">
        <v>183</v>
      </c>
      <c r="AM5" s="1483" t="s">
        <v>570</v>
      </c>
      <c r="AN5" s="1483" t="s">
        <v>247</v>
      </c>
      <c r="AO5" s="1483" t="s">
        <v>248</v>
      </c>
      <c r="AP5" s="1483" t="s">
        <v>709</v>
      </c>
      <c r="AQ5" s="1483" t="s">
        <v>710</v>
      </c>
      <c r="AR5" s="1483" t="s">
        <v>711</v>
      </c>
      <c r="AS5" s="1483" t="s">
        <v>712</v>
      </c>
      <c r="AT5" s="1483" t="s">
        <v>713</v>
      </c>
      <c r="AU5" s="1483" t="s">
        <v>714</v>
      </c>
      <c r="AV5" s="1483" t="s">
        <v>715</v>
      </c>
      <c r="AW5" s="1483" t="s">
        <v>716</v>
      </c>
      <c r="AX5" s="1483" t="s">
        <v>839</v>
      </c>
      <c r="AY5" s="1483" t="s">
        <v>842</v>
      </c>
      <c r="AZ5" s="1483" t="s">
        <v>717</v>
      </c>
      <c r="BA5" s="1483" t="s">
        <v>718</v>
      </c>
      <c r="BB5" s="1483" t="s">
        <v>538</v>
      </c>
      <c r="BC5" s="1345" t="s">
        <v>725</v>
      </c>
      <c r="BD5" s="1345" t="s">
        <v>726</v>
      </c>
      <c r="BE5" s="1512" t="s">
        <v>727</v>
      </c>
      <c r="BF5" s="1539"/>
      <c r="BG5" s="1540"/>
      <c r="BH5" s="1539"/>
      <c r="BI5" s="1540"/>
      <c r="BJ5" s="1539"/>
      <c r="BK5" s="1540"/>
      <c r="BL5" s="1539"/>
      <c r="BM5" s="1540"/>
    </row>
    <row r="6" spans="1:65" ht="21.75" customHeight="1">
      <c r="A6" s="1534"/>
      <c r="B6" s="662"/>
      <c r="C6" s="1536"/>
      <c r="D6" s="1484"/>
      <c r="E6" s="1484"/>
      <c r="F6" s="1513"/>
      <c r="G6" s="1484"/>
      <c r="H6" s="1484"/>
      <c r="I6" s="1484"/>
      <c r="J6" s="1484"/>
      <c r="K6" s="1484"/>
      <c r="L6" s="1484"/>
      <c r="M6" s="1484"/>
      <c r="N6" s="1484"/>
      <c r="O6" s="1484"/>
      <c r="P6" s="1484"/>
      <c r="Q6" s="1484"/>
      <c r="R6" s="1484"/>
      <c r="S6" s="1484"/>
      <c r="T6" s="1484"/>
      <c r="U6" s="1519"/>
      <c r="V6" s="1519"/>
      <c r="W6" s="1484"/>
      <c r="X6" s="1484"/>
      <c r="Y6" s="1487"/>
      <c r="Z6" s="1543"/>
      <c r="AA6" s="1546"/>
      <c r="AB6" s="1543"/>
      <c r="AC6" s="1543"/>
      <c r="AD6" s="1543"/>
      <c r="AE6" s="1543"/>
      <c r="AF6" s="1484"/>
      <c r="AG6" s="1484"/>
      <c r="AH6" s="1484"/>
      <c r="AI6" s="1484"/>
      <c r="AJ6" s="1484"/>
      <c r="AK6" s="1496"/>
      <c r="AL6" s="1496"/>
      <c r="AM6" s="1484"/>
      <c r="AN6" s="1484"/>
      <c r="AO6" s="1484"/>
      <c r="AP6" s="1484"/>
      <c r="AQ6" s="1484"/>
      <c r="AR6" s="1484"/>
      <c r="AS6" s="1484"/>
      <c r="AT6" s="1484"/>
      <c r="AU6" s="1484"/>
      <c r="AV6" s="1484"/>
      <c r="AW6" s="1484"/>
      <c r="AX6" s="1484"/>
      <c r="AY6" s="1484"/>
      <c r="AZ6" s="1484"/>
      <c r="BA6" s="1484"/>
      <c r="BB6" s="1484"/>
      <c r="BC6" s="1346"/>
      <c r="BD6" s="1346"/>
      <c r="BE6" s="1513"/>
      <c r="BF6" s="1537"/>
      <c r="BG6" s="1537"/>
      <c r="BH6" s="1537"/>
      <c r="BI6" s="1537"/>
      <c r="BJ6" s="1537"/>
      <c r="BK6" s="1537"/>
      <c r="BL6" s="1537"/>
      <c r="BM6" s="1537"/>
    </row>
    <row r="7" spans="1:65" ht="38.25" customHeight="1" thickBot="1">
      <c r="A7" s="1535"/>
      <c r="B7" s="663"/>
      <c r="C7" s="664" t="str">
        <f>Datos!A7</f>
        <v>COMPETENCIAS</v>
      </c>
      <c r="D7" s="1485"/>
      <c r="E7" s="1485"/>
      <c r="F7" s="1514"/>
      <c r="G7" s="1485"/>
      <c r="H7" s="1485"/>
      <c r="I7" s="1485"/>
      <c r="J7" s="1485"/>
      <c r="K7" s="1485"/>
      <c r="L7" s="1485"/>
      <c r="M7" s="1485"/>
      <c r="N7" s="1485"/>
      <c r="O7" s="1485"/>
      <c r="P7" s="1485"/>
      <c r="Q7" s="1485"/>
      <c r="R7" s="1485"/>
      <c r="S7" s="1485"/>
      <c r="T7" s="1485"/>
      <c r="U7" s="1520"/>
      <c r="V7" s="1520"/>
      <c r="W7" s="1485"/>
      <c r="X7" s="1485"/>
      <c r="Y7" s="1488"/>
      <c r="Z7" s="1544"/>
      <c r="AA7" s="1547"/>
      <c r="AB7" s="1544"/>
      <c r="AC7" s="1544"/>
      <c r="AD7" s="1544"/>
      <c r="AE7" s="1544"/>
      <c r="AF7" s="1485"/>
      <c r="AG7" s="1485"/>
      <c r="AH7" s="1485"/>
      <c r="AI7" s="1485"/>
      <c r="AJ7" s="1485"/>
      <c r="AK7" s="1497"/>
      <c r="AL7" s="1497"/>
      <c r="AM7" s="1485"/>
      <c r="AN7" s="1485"/>
      <c r="AO7" s="1485"/>
      <c r="AP7" s="1485"/>
      <c r="AQ7" s="1485"/>
      <c r="AR7" s="1485"/>
      <c r="AS7" s="1485"/>
      <c r="AT7" s="1485"/>
      <c r="AU7" s="1485"/>
      <c r="AV7" s="1485"/>
      <c r="AW7" s="1485"/>
      <c r="AX7" s="1485"/>
      <c r="AY7" s="1485"/>
      <c r="AZ7" s="1485"/>
      <c r="BA7" s="1485"/>
      <c r="BB7" s="1485"/>
      <c r="BC7" s="1541"/>
      <c r="BD7" s="1541"/>
      <c r="BE7" s="1514"/>
      <c r="BF7" s="1538"/>
      <c r="BG7" s="1538"/>
      <c r="BH7" s="1538"/>
      <c r="BI7" s="1538"/>
      <c r="BJ7" s="1538"/>
      <c r="BK7" s="1538"/>
      <c r="BL7" s="1538"/>
      <c r="BM7" s="1538"/>
    </row>
    <row r="8" spans="1:65" ht="15.75" thickTop="1" thickBot="1">
      <c r="A8" s="665"/>
      <c r="B8" s="665"/>
      <c r="C8" s="164" t="str">
        <f>Datos!A8</f>
        <v>Jurisdicción Civil ( 1 ):</v>
      </c>
      <c r="D8" s="666"/>
      <c r="E8" s="666"/>
      <c r="F8" s="667"/>
      <c r="G8" s="667"/>
      <c r="H8" s="667"/>
      <c r="I8" s="668"/>
      <c r="J8" s="668"/>
      <c r="K8" s="668"/>
      <c r="L8" s="669"/>
      <c r="M8" s="669"/>
      <c r="N8" s="668"/>
      <c r="O8" s="668"/>
      <c r="P8" s="668"/>
      <c r="Q8" s="670"/>
      <c r="R8" s="670"/>
      <c r="S8" s="668"/>
      <c r="T8" s="668"/>
      <c r="U8" s="670"/>
      <c r="V8" s="670"/>
      <c r="W8" s="1019"/>
      <c r="X8" s="1020"/>
      <c r="Y8" s="668"/>
      <c r="Z8" s="671"/>
      <c r="AA8" s="672"/>
      <c r="AB8" s="667"/>
      <c r="AC8" s="667"/>
      <c r="AD8" s="668"/>
      <c r="AE8" s="668"/>
      <c r="AF8" s="667"/>
      <c r="AG8" s="667"/>
      <c r="AH8" s="668"/>
      <c r="AI8" s="668"/>
      <c r="AJ8" s="673"/>
      <c r="AK8" s="675"/>
      <c r="AL8" s="667"/>
      <c r="AM8" s="668"/>
      <c r="AN8" s="677"/>
      <c r="AO8" s="678"/>
      <c r="AP8" s="780"/>
      <c r="AQ8" s="780"/>
      <c r="AR8" s="679"/>
      <c r="AS8" s="679"/>
      <c r="AT8" s="679"/>
      <c r="AU8" s="679"/>
      <c r="AV8" s="680"/>
      <c r="AW8" s="680"/>
      <c r="AX8" s="679"/>
      <c r="AY8" s="679"/>
      <c r="AZ8" s="682"/>
      <c r="BA8" s="682"/>
      <c r="BB8" s="683"/>
      <c r="BC8" s="220"/>
      <c r="BD8" s="220"/>
      <c r="BE8" s="667"/>
      <c r="BF8" s="684"/>
      <c r="BG8" s="684"/>
      <c r="BH8" s="684"/>
      <c r="BI8" s="684"/>
      <c r="BJ8" s="684"/>
      <c r="BK8" s="684"/>
      <c r="BL8" s="684"/>
      <c r="BM8" s="684"/>
    </row>
    <row r="9" spans="1:65" ht="15">
      <c r="A9" s="504">
        <f>Datos!AO9</f>
        <v>0</v>
      </c>
      <c r="B9" s="504" t="s">
        <v>246</v>
      </c>
      <c r="C9" s="163" t="str">
        <f>Datos!A9</f>
        <v xml:space="preserve">Jdos. 1ª Instancia   </v>
      </c>
      <c r="D9" s="505"/>
      <c r="E9" s="685">
        <f>IF(ISNUMBER(Datos!AQ9),Datos!AQ9," - ")</f>
        <v>0</v>
      </c>
      <c r="F9" s="686" t="str">
        <f>IF(ISNUMBER(AF9+AB9-I9),AF9+AB9-I9," - ")</f>
        <v xml:space="preserve"> - </v>
      </c>
      <c r="G9" s="687" t="str">
        <f>IF(ISNUMBER(IF(J_V="SI",Datos!I9,Datos!I9+Datos!Y9)-IF(Monitorios="SI",Datos!CA9,0)),
                          IF(J_V="SI",Datos!I9,Datos!I9+Datos!Y9)-IF(Monitorios="SI",Datos!CA9,0),
                          " - ")</f>
        <v xml:space="preserve"> - </v>
      </c>
      <c r="H9" s="686"/>
      <c r="I9" s="688"/>
      <c r="J9" s="688">
        <f>IF(ISNUMBER(Datos!DF9),Datos!DF9,0)</f>
        <v>0</v>
      </c>
      <c r="K9" s="688"/>
      <c r="L9" s="685"/>
      <c r="M9" s="685"/>
      <c r="N9" s="688"/>
      <c r="O9" s="688"/>
      <c r="P9" s="688"/>
      <c r="Q9" s="689"/>
      <c r="R9" s="689"/>
      <c r="S9" s="688"/>
      <c r="T9" s="688"/>
      <c r="U9" s="690"/>
      <c r="V9" s="690"/>
      <c r="W9" s="688"/>
      <c r="X9" s="1021"/>
      <c r="Y9" s="787"/>
      <c r="Z9" s="686"/>
      <c r="AA9" s="728"/>
      <c r="AB9" s="686"/>
      <c r="AC9" s="686"/>
      <c r="AD9" s="688"/>
      <c r="AE9" s="688"/>
      <c r="AF9" s="691" t="str">
        <f>IF(ISNUMBER(IF(J_V="SI",Datos!L9,Datos!L9+Datos!AB9)-IF(Monitorios="SI",Datos!CD9,0)),
                          IF(J_V="SI",Datos!L9,Datos!L9+Datos!AB9)-IF(Monitorios="SI",Datos!CD9,0),
                          " - ")</f>
        <v xml:space="preserve"> - </v>
      </c>
      <c r="AG9" s="691"/>
      <c r="AH9" s="692"/>
      <c r="AI9" s="692"/>
      <c r="AJ9" s="685"/>
      <c r="AK9" s="675"/>
      <c r="AL9" s="686"/>
      <c r="AM9" s="693"/>
      <c r="AN9" s="693"/>
      <c r="AO9" s="694"/>
      <c r="AP9" s="696"/>
      <c r="AQ9" s="696"/>
      <c r="AR9" s="697"/>
      <c r="AS9" s="697"/>
      <c r="AT9" s="697"/>
      <c r="AU9" s="697"/>
      <c r="AV9" s="698"/>
      <c r="AW9" s="698"/>
      <c r="AX9" s="700"/>
      <c r="AY9" s="700"/>
      <c r="AZ9" s="700"/>
      <c r="BA9" s="700"/>
      <c r="BB9" s="701">
        <f>Datos!DU9</f>
        <v>0</v>
      </c>
      <c r="BC9" s="229"/>
      <c r="BD9" s="229"/>
      <c r="BE9" s="686"/>
      <c r="BF9" s="702"/>
      <c r="BG9" s="702"/>
      <c r="BH9" s="702"/>
      <c r="BI9" s="702"/>
      <c r="BJ9" s="702"/>
      <c r="BK9" s="702"/>
      <c r="BL9" s="702"/>
      <c r="BM9" s="702"/>
    </row>
    <row r="10" spans="1:65" ht="15">
      <c r="A10" s="504">
        <f>Datos!AO10</f>
        <v>1</v>
      </c>
      <c r="B10" s="510" t="s">
        <v>246</v>
      </c>
      <c r="C10" s="7" t="str">
        <f>Datos!A10</f>
        <v>Jdos. Violencia contra la mujer</v>
      </c>
      <c r="D10" s="511"/>
      <c r="E10" s="685">
        <f>IF(ISNUMBER(Datos!AQ10),Datos!AQ10," - ")</f>
        <v>0</v>
      </c>
      <c r="F10" s="686">
        <f>IF(ISNUMBER(Datos!L10+Datos!K10-Datos!J10),Datos!L10+Datos!K10-Datos!J10," - ")</f>
        <v>9</v>
      </c>
      <c r="G10" s="687">
        <f>IF(ISNUMBER(Datos!I10),Datos!I10," - ")</f>
        <v>9</v>
      </c>
      <c r="H10" s="686" t="str">
        <f>IF(ISNUMBER(Datos!DB10),Datos!DB10," - ")</f>
        <v xml:space="preserve"> - </v>
      </c>
      <c r="I10" s="688" t="str">
        <f>IF(ISNUMBER(DatosP!DB17),DatosP!DB17," - ")</f>
        <v xml:space="preserve"> - </v>
      </c>
      <c r="J10" s="688">
        <f>IF(ISNUMBER(Datos!DF10),Datos!DF10,0)</f>
        <v>0</v>
      </c>
      <c r="K10" s="688">
        <f>IF(ISNUMBER(DatosP!DF17),DatosP!DF17,0)</f>
        <v>0</v>
      </c>
      <c r="L10" s="685" t="str">
        <f>IF(ISNUMBER(DatosP!EB17),DatosP!EB17," - ")</f>
        <v xml:space="preserve"> - </v>
      </c>
      <c r="M10" s="685" t="str">
        <f>IF(ISNUMBER(DatosP!EC17),DatosP!EC17," - ")</f>
        <v xml:space="preserve"> - </v>
      </c>
      <c r="N10" s="688">
        <f>IF(ISNUMBER(Datos!P10),Datos!P10,0)</f>
        <v>4</v>
      </c>
      <c r="O10" s="688">
        <f>IF(ISNUMBER(DatosP!P17),DatosP!P17,0)</f>
        <v>0</v>
      </c>
      <c r="P10" s="688"/>
      <c r="Q10" s="689" t="str">
        <f>IF(ISNUMBER(DatosP!EB17*factor_trimestre/DatosP!EE17),DatosP!EB17*factor_trimestre/DatosP!EE17," - ")</f>
        <v xml:space="preserve"> - </v>
      </c>
      <c r="R10" s="689" t="str">
        <f>IF(ISNUMBER(DatosP!EC17*factor_trimestre/DatosP!EF17),DatosP!EC17*factor_trimestre/DatosP!EF17," - ")</f>
        <v xml:space="preserve"> - </v>
      </c>
      <c r="S10" s="688" t="str">
        <f>IF(ISNUMBER(Datos!AS10/E10),Datos!AS10/E10," - ")</f>
        <v xml:space="preserve"> - </v>
      </c>
      <c r="T10" s="688" t="str">
        <f>IF(ISNUMBER(DatosP!AS17/E10),DatosP!AS17/E10," - ")</f>
        <v xml:space="preserve"> - </v>
      </c>
      <c r="U10" s="690" t="str">
        <f>IF(ISNUMBER(S10/(Datos!BM10/factor_trimestre)),S10/(Datos!BM10/factor_trimestre)," - ")</f>
        <v xml:space="preserve"> - </v>
      </c>
      <c r="V10" s="690" t="str">
        <f>IF(ISNUMBER(T10/(DatosP!BM17/factor_trimestre)),T10/(Datos!BM17/factor_trimestre)," - ")</f>
        <v xml:space="preserve"> - </v>
      </c>
      <c r="W10" s="688" t="str">
        <f>IF(ISNUMBER(Datos!EO10+DatosP!EO17),Datos!EO10+DatosP!EO17," - ")</f>
        <v xml:space="preserve"> - </v>
      </c>
      <c r="X10" s="1021" t="str">
        <f>IF(ISNUMBER((W10/(Datos!ER10))*factor_trimestre),(W10/(Datos!ER10))*factor_trimestre," - ")</f>
        <v xml:space="preserve"> - </v>
      </c>
      <c r="Y10" s="787"/>
      <c r="Z10" s="686">
        <f>IF(ISNUMBER(Datos!BY10+DatosP!BY17+Datos!BZ10+DatosP!BZ17),Datos!BY10+DatosP!BY17+Datos!BZ10+DatosP!BZ17," - ")</f>
        <v>0</v>
      </c>
      <c r="AA10" s="728">
        <f>IF(ISNUMBER((Z10*factor_trimestre)/((Datos!CN10+DatosP!CN17)/2)),(Z10*factor_trimestre)/((Datos!CN10+DatosP!CN17)/2),"-")</f>
        <v>0</v>
      </c>
      <c r="AB10" s="686">
        <f>IF(ISNUMBER(Datos!K10),Datos!K10," - ")</f>
        <v>8</v>
      </c>
      <c r="AC10" s="686" t="str">
        <f>IF(ISNUMBER(IF(D_I="SI",DatosP!K17,DatosP!K17+DatosP!AE17)),IF(D_I="SI",DatosP!K17,DatosP!K17+DatosP!AE17)," - ")</f>
        <v xml:space="preserve"> - </v>
      </c>
      <c r="AD10" s="688"/>
      <c r="AE10" s="688"/>
      <c r="AF10" s="691">
        <f>IF(ISNUMBER(Datos!L10),Datos!L10,"-")</f>
        <v>8</v>
      </c>
      <c r="AG10" s="691" t="str">
        <f>IF(ISNUMBER(DatosP!L17),DatosP!L17,"-")</f>
        <v>-</v>
      </c>
      <c r="AH10" s="692"/>
      <c r="AI10" s="692"/>
      <c r="AJ10" s="685">
        <f>IF(ISNUMBER(Datos!BV10+DatosP!BV17),Datos!BV10+DatosP!BV17," - ")</f>
        <v>0</v>
      </c>
      <c r="AK10" s="675">
        <f>IF(ISNUMBER(Datos!DV10+DatosP!DV17),Datos!DV10+DatosP!DV17," - ")</f>
        <v>0</v>
      </c>
      <c r="AL10" s="686">
        <f>IF(ISNUMBER(Datos!M10+DatosP!M17),Datos!M10+DatosP!M17," - ")</f>
        <v>4</v>
      </c>
      <c r="AM10" s="693">
        <f>IF(ISNUMBER(Datos!N10+DatosP!N17),Datos!N10+DatosP!N17," - ")</f>
        <v>4</v>
      </c>
      <c r="AN10" s="693">
        <f>IF(ISNUMBER(Datos!BW10+DatosP!BW17),Datos!BW10+DatosP!BW17," - ")</f>
        <v>0</v>
      </c>
      <c r="AO10" s="694">
        <f>IF(ISNUMBER(Datos!BX10+DatosP!BX17),Datos!BX10+DatosP!BX17," - ")</f>
        <v>0</v>
      </c>
      <c r="AP10" s="696">
        <f>IF(ISNUMBER(((Datos!L10/Datos!K10)*11)/factor_trimestre),((Datos!L10/Datos!K10)*11)/factor_trimestre," - ")</f>
        <v>11</v>
      </c>
      <c r="AQ10" s="696" t="str">
        <f>IF(ISNUMBER(((IF(D_I="SI",DatosP!L17/DatosP!K17,(DatosP!L17+DatosP!AF17)/(DatosP!K17+DatosP!AE17)))*11)/factor_trimestre),((IF(D_I="SI",DatosP!L17/DatosP!K17,(DatosP!L17+DatosP!AF17)/(DatosP!K17+DatosP!AE17)))*11)/factor_trimestre," - ")</f>
        <v xml:space="preserve"> - </v>
      </c>
      <c r="AR10" s="697" t="str">
        <f>IF(ISNUMBER(Datos!CI10/Datos!CJ10),Datos!CI10/Datos!CJ10," - ")</f>
        <v xml:space="preserve"> - </v>
      </c>
      <c r="AS10" s="697" t="str">
        <f>IF(ISNUMBER(DatosP!CI17/DatosP!CJ17),DatosP!CI17/DatosP!CJ17," - ")</f>
        <v xml:space="preserve"> - </v>
      </c>
      <c r="AT10" s="697" t="str">
        <f>IF(ISNUMBER(((H10-AB10+J10)/(F10-J10))),(H10-AB10+J10)/(F10-J10)," - ")</f>
        <v xml:space="preserve"> - </v>
      </c>
      <c r="AU10" s="697" t="str">
        <f>IF(ISNUMBER((DatosP!DB17-DatosP!K17+DatosP!DF17)/(DatosP!L17+DatosP!K17-DatosP!J17-DatosP!DF17)),(DatosP!DB17-DatosP!K17+DatosP!DF17)/(DatosP!L17+DatosP!K17-DatosP!J17-DatosP!DF17)," - ")</f>
        <v xml:space="preserve"> - </v>
      </c>
      <c r="AV10" s="698"/>
      <c r="AW10" s="698"/>
      <c r="AX10" s="700">
        <f>IF(ISNUMBER(Datos!EV10+DatosP!EV17),Datos!EV10+DatosP!EV17," - ")</f>
        <v>0</v>
      </c>
      <c r="AY10" s="700">
        <f>IF(ISNUMBER(Datos!CW10+DatosP!CW17),Datos!CW10+DatosP!CW17," - ")</f>
        <v>0</v>
      </c>
      <c r="AZ10" s="700">
        <f>Datos!CX10</f>
        <v>0</v>
      </c>
      <c r="BA10" s="700">
        <f>DatosP!CX17</f>
        <v>0</v>
      </c>
      <c r="BB10" s="701">
        <f>Datos!DU10</f>
        <v>0</v>
      </c>
      <c r="BC10" s="229"/>
      <c r="BD10" s="229"/>
      <c r="BE10" s="686">
        <f>IF(ISNUMBER(DatosP!L17+DatosP!K17-DatosP!J17),DatosP!L17+DatosP!K17-DatosP!J17," - ")</f>
        <v>0</v>
      </c>
      <c r="BF10" s="702"/>
      <c r="BG10" s="702"/>
      <c r="BH10" s="702"/>
      <c r="BI10" s="702"/>
      <c r="BJ10" s="702"/>
      <c r="BK10" s="702"/>
      <c r="BL10" s="702"/>
      <c r="BM10" s="702"/>
    </row>
    <row r="11" spans="1:65" ht="15">
      <c r="A11" s="504">
        <f>Datos!AO11</f>
        <v>0</v>
      </c>
      <c r="B11" s="510" t="s">
        <v>246</v>
      </c>
      <c r="C11" s="7" t="str">
        <f>Datos!A11</f>
        <v xml:space="preserve">Jdos. Familia                                   </v>
      </c>
      <c r="D11" s="511"/>
      <c r="E11" s="685">
        <f>IF(ISNUMBER(Datos!AQ11),Datos!AQ11," - ")</f>
        <v>0</v>
      </c>
      <c r="F11" s="686" t="str">
        <f>IF(ISNUMBER(AF11+AB11-I11),AF11+AB11-I11," - ")</f>
        <v xml:space="preserve"> - </v>
      </c>
      <c r="G11" s="687" t="str">
        <f>IF(ISNUMBER(IF(J_V="SI",Datos!I11,Datos!I11+Datos!Y11)-IF(Monitorios="SI",Datos!CA11,0)),
                          IF(J_V="SI",Datos!I11,Datos!I11+Datos!Y11)-IF(Monitorios="SI",Datos!CA11,0),
                          " - ")</f>
        <v xml:space="preserve"> - </v>
      </c>
      <c r="H11" s="686"/>
      <c r="I11" s="688"/>
      <c r="J11" s="688">
        <f>IF(ISNUMBER(Datos!DF11),Datos!DF11,0)</f>
        <v>0</v>
      </c>
      <c r="K11" s="688"/>
      <c r="L11" s="685"/>
      <c r="M11" s="685"/>
      <c r="N11" s="688"/>
      <c r="O11" s="688"/>
      <c r="P11" s="688"/>
      <c r="Q11" s="689"/>
      <c r="R11" s="689"/>
      <c r="S11" s="688"/>
      <c r="T11" s="688"/>
      <c r="U11" s="690"/>
      <c r="V11" s="690"/>
      <c r="W11" s="688"/>
      <c r="X11" s="1021"/>
      <c r="Y11" s="787"/>
      <c r="Z11" s="686"/>
      <c r="AA11" s="728"/>
      <c r="AB11" s="686"/>
      <c r="AC11" s="686"/>
      <c r="AD11" s="688"/>
      <c r="AE11" s="688"/>
      <c r="AF11" s="691" t="str">
        <f>IF(ISNUMBER(IF(J_V="SI",Datos!L11,Datos!L11+Datos!AB11)-IF(Monitorios="SI",Datos!CD11,0)),
                          IF(J_V="SI",Datos!L11,Datos!L11+Datos!AB11)-IF(Monitorios="SI",Datos!CD11,0),
                          " - ")</f>
        <v xml:space="preserve"> - </v>
      </c>
      <c r="AG11" s="691"/>
      <c r="AH11" s="692"/>
      <c r="AI11" s="692"/>
      <c r="AJ11" s="692"/>
      <c r="AK11" s="675"/>
      <c r="AL11" s="686"/>
      <c r="AM11" s="693"/>
      <c r="AN11" s="693"/>
      <c r="AO11" s="694"/>
      <c r="AP11" s="696"/>
      <c r="AQ11" s="696"/>
      <c r="AR11" s="697"/>
      <c r="AS11" s="697"/>
      <c r="AT11" s="697"/>
      <c r="AU11" s="697"/>
      <c r="AV11" s="698"/>
      <c r="AW11" s="698"/>
      <c r="AX11" s="700"/>
      <c r="AY11" s="700"/>
      <c r="AZ11" s="700"/>
      <c r="BA11" s="700"/>
      <c r="BB11" s="701">
        <f>Datos!DU11</f>
        <v>0</v>
      </c>
      <c r="BC11" s="229"/>
      <c r="BD11" s="229"/>
      <c r="BE11" s="686"/>
      <c r="BF11" s="702"/>
      <c r="BG11" s="702"/>
      <c r="BH11" s="702"/>
      <c r="BI11" s="702"/>
      <c r="BJ11" s="702"/>
      <c r="BK11" s="702"/>
      <c r="BL11" s="702"/>
      <c r="BM11" s="702"/>
    </row>
    <row r="12" spans="1:65" ht="15.75" thickBot="1">
      <c r="A12" s="504">
        <f>Datos!AO12</f>
        <v>2</v>
      </c>
      <c r="B12" s="510" t="s">
        <v>246</v>
      </c>
      <c r="C12" s="7" t="str">
        <f>Datos!A12</f>
        <v xml:space="preserve">Jdos. 1ª Instª. e Instr.                        </v>
      </c>
      <c r="D12" s="511"/>
      <c r="E12" s="685">
        <f>IF(ISNUMBER(Datos!AQ12),Datos!AQ12," - ")</f>
        <v>2</v>
      </c>
      <c r="F12" s="686" t="str">
        <f>IF(ISNUMBER(AF12+AB12-Datos!DC12),AF12+AB12-Datos!DC12," - ")</f>
        <v xml:space="preserve"> - </v>
      </c>
      <c r="G12" s="687" t="str">
        <f>IF(ISNUMBER(IF(J_V="SI",Datos!I12,Datos!I12+Datos!Y12)-IF(Monitorios="SI",Datos!CA12,0)),
                          IF(J_V="SI",Datos!I12,Datos!I12+Datos!Y12)-IF(Monitorios="SI",Datos!CA12,0),
                          " - ")</f>
        <v xml:space="preserve"> - </v>
      </c>
      <c r="H12" s="686" t="str">
        <f>IF(ISNUMBER(Datos!DC12),Datos!DC12," - ")</f>
        <v xml:space="preserve"> - </v>
      </c>
      <c r="I12" s="688" t="str">
        <f>IF(ISNUMBER(DatosP!DC16),DatosP!DC16," - ")</f>
        <v xml:space="preserve"> - </v>
      </c>
      <c r="J12" s="688">
        <f>IF(ISNUMBER(Datos!DF12),Datos!DF12,0)</f>
        <v>0</v>
      </c>
      <c r="K12" s="688">
        <f>IF(ISNUMBER(DatosP!DF16),DatosP!DF16,0)</f>
        <v>0</v>
      </c>
      <c r="L12" s="685"/>
      <c r="M12" s="685"/>
      <c r="N12" s="688">
        <f>IF(ISNUMBER(Datos!P12),Datos!P12,0)</f>
        <v>245</v>
      </c>
      <c r="O12" s="688">
        <f>IF(ISNUMBER(DatosP!P16),DatosP!P16,0)</f>
        <v>0</v>
      </c>
      <c r="P12" s="688" t="str">
        <f>IF(ISNUMBER(DatosP!DE16),DatosP!DE16," - ")</f>
        <v xml:space="preserve"> - </v>
      </c>
      <c r="Q12" s="689"/>
      <c r="R12" s="689"/>
      <c r="S12" s="688" t="str">
        <f>IF(ISNUMBER(Datos!AS12*(2500/380)+DatosP!AS16),Datos!AS12*(2500/380)+DatosP!AS16," - ")</f>
        <v xml:space="preserve"> - </v>
      </c>
      <c r="T12" s="688">
        <f>IF(ISNUMBER(DatosP!AS16/E12),DatosP!AS16/E12," - ")</f>
        <v>0</v>
      </c>
      <c r="U12" s="690" t="str">
        <f>IF(ISNUMBER(S12/((2*DatosP!BM16)/factor_trimestre)),S12/((2*DatosP!BM16)/factor_trimestre)," - ")</f>
        <v xml:space="preserve"> - </v>
      </c>
      <c r="V12" s="690" t="str">
        <f>IF(ISNUMBER(T12/(DatosP!BM16/factor_trimestre)),T12/(DatosP!BM16/factor_trimestre)," - ")</f>
        <v xml:space="preserve"> - </v>
      </c>
      <c r="W12" s="688" t="str">
        <f>IF(ISNUMBER(Datos!EO12*DatosP!ER16/Datos!ER12+DatosP!EO16),Datos!EO12*DatosP!ER16/Datos!ER12+DatosP!EO16," - ")</f>
        <v xml:space="preserve"> - </v>
      </c>
      <c r="X12" s="1021" t="str">
        <f>IF(ISNUMBER((W12/(2000))*factor_trimestre),(W12/(2000))*factor_trimestre," - ")</f>
        <v xml:space="preserve"> - </v>
      </c>
      <c r="Y12" s="787" t="str">
        <f>IF(ISNUMBER(Datos!CB12),Datos!CB12," - ")</f>
        <v xml:space="preserve"> - </v>
      </c>
      <c r="Z12" s="686">
        <f>IF(ISNUMBER(Datos!BY12+DatosP!BY16),Datos!BY12+DatosP!BY16," - ")</f>
        <v>0</v>
      </c>
      <c r="AA12" s="728">
        <f>IF(ISNUMBER((Z12*factor_trimestre)/((Datos!CN12+DatosP!CN16)/2)),(Z12*factor_trimestre)/((Datos!CN12+DatosP!CN16)/2),"-")</f>
        <v>0</v>
      </c>
      <c r="AB12" s="686" t="str">
        <f>IF(ISNUMBER(IF(J_V="SI",Datos!K12,Datos!K12+Datos!AA12)-IF(Monitorios="SI",Datos!CC12,0)),
                          IF(J_V="SI",Datos!K12,Datos!K12+Datos!AA12)-IF(Monitorios="SI",Datos!CC12,0),
                          " - ")</f>
        <v xml:space="preserve"> - </v>
      </c>
      <c r="AC12" s="686" t="str">
        <f>IF(ISNUMBER(IF(D_I="SI",DatosP!K16,DatosP!K16+DatosP!AE16)),IF(D_I="SI",DatosP!K16,DatosP!K16+DatosP!AE16)," - ")</f>
        <v xml:space="preserve"> - </v>
      </c>
      <c r="AD12" s="688">
        <f>IF(ISNUMBER(Datos!Q12),Datos!Q12," - ")</f>
        <v>280</v>
      </c>
      <c r="AE12" s="688" t="str">
        <f>IF(ISNUMBER(DatosP!Q16),DatosP!Q16," - ")</f>
        <v xml:space="preserve"> - </v>
      </c>
      <c r="AF12" s="691" t="str">
        <f>IF(ISNUMBER(IF(J_V="SI",Datos!L12,Datos!L12+Datos!AB12)-IF(Monitorios="SI",Datos!CD12,0)),
                          IF(J_V="SI",Datos!L12,Datos!L12+Datos!AB12)-IF(Monitorios="SI",Datos!CD12,0),
                          " - ")</f>
        <v xml:space="preserve"> - </v>
      </c>
      <c r="AG12" s="691" t="str">
        <f>IF(ISNUMBER(IF(D_I="SI",DatosP!L16,DatosP!L16+DatosP!AF16)),IF(D_I="SI",DatosP!L16,DatosP!L16+DatosP!AF16)," - ")</f>
        <v xml:space="preserve"> - </v>
      </c>
      <c r="AH12" s="692">
        <f>IF(ISNUMBER(Datos!R12),Datos!R12," - ")</f>
        <v>1087</v>
      </c>
      <c r="AI12" s="692" t="str">
        <f>IF(ISNUMBER(DatosP!R16),DatosP!R16," - ")</f>
        <v xml:space="preserve"> - </v>
      </c>
      <c r="AJ12" s="685">
        <f>IF(ISNUMBER(Datos!BV12+DatosP!BV16),Datos!BV12+DatosP!BV16," - ")</f>
        <v>0</v>
      </c>
      <c r="AK12" s="675" t="str">
        <f>IF(ISNUMBER(Datos!DV12),Datos!DV12," - ")</f>
        <v xml:space="preserve"> - </v>
      </c>
      <c r="AL12" s="686">
        <f>IF(ISNUMBER(Datos!M12+DatosP!M16),Datos!M12+DatosP!M16," - ")</f>
        <v>237</v>
      </c>
      <c r="AM12" s="693">
        <f>IF(ISNUMBER(Datos!N12+DatosP!N16),Datos!N12+DatosP!N16," - ")</f>
        <v>393</v>
      </c>
      <c r="AN12" s="693">
        <f>IF(ISNUMBER(Datos!BW12+DatosP!BW16),Datos!BW12+DatosP!BW16," - ")</f>
        <v>0</v>
      </c>
      <c r="AO12" s="694">
        <f>IF(ISNUMBER(Datos!BX12+DatosP!BX16),Datos!BX12+DatosP!BX16," - ")</f>
        <v>0</v>
      </c>
      <c r="AP12" s="696">
        <f>IF(ISNUMBER(((IF(J_V="SI",Datos!L12/Datos!K12,(Datos!L12+Datos!AB12)/(Datos!K12+Datos!AA12)))*11)/factor_trimestre),((IF(J_V="SI",Datos!L12/Datos!K12,(Datos!L12+Datos!AB12)/(Datos!K12+Datos!AA12)))*11)/factor_trimestre," - ")</f>
        <v>8.8148148148148149</v>
      </c>
      <c r="AQ12" s="696" t="str">
        <f>IF(ISNUMBER(((IF(D_I="SI",DatosP!L16/DatosP!K16,(DatosP!L16+DatosP!AF16)/(DatosP!K16+DatosP!AE16)))*11)/factor_trimestre),((IF(D_I="SI",DatosP!L16/DatosP!K16,(DatosP!L16+DatosP!AF16)/(DatosP!K16+DatosP!AE16)))*11)/factor_trimestre," - ")</f>
        <v xml:space="preserve"> - </v>
      </c>
      <c r="AR12" s="697" t="str">
        <f>IF(ISNUMBER(Datos!CI12/Datos!CJ12),Datos!CI12/Datos!CJ12," - ")</f>
        <v xml:space="preserve"> - </v>
      </c>
      <c r="AS12" s="697" t="str">
        <f>IF(ISNUMBER(DatosP!CI16/DatosP!CJ16),DatosP!CI16/DatosP!CJ16," - ")</f>
        <v xml:space="preserve"> - </v>
      </c>
      <c r="AT12" s="697" t="str">
        <f>IF(ISNUMBER(((BC12-AB12+J12)/(F12-J12))),(BC12-AB12+J12)/(F12-J12)," - ")</f>
        <v xml:space="preserve"> - </v>
      </c>
      <c r="AU12" s="697" t="str">
        <f>IF(ISNUMBER((DatosP!DC16-DatosP!K16+DatosP!DF16)/(DatosP!L16+DatosP!K16-DatosP!J16-DatosP!DF16)),(DatosP!DC16-DatosP!K16+DatosP!DF16)/(DatosP!L16+DatosP!K16-DatosP!J16-DatosP!DF16)," - ")</f>
        <v xml:space="preserve"> - </v>
      </c>
      <c r="AV12" s="698">
        <f>IF(ISNUMBER((Datos!P12-Datos!Q12+Datos!DE12)/(Datos!R12-Datos!P12+Datos!Q12-Datos!DE12)),(Datos!P12-Datos!Q12+Datos!DE12)/(Datos!R12-Datos!P12+Datos!Q12-Datos!DE12)," - ")</f>
        <v>-3.1194295900178252E-2</v>
      </c>
      <c r="AW12" s="698" t="str">
        <f>IF(ISNUMBER((DatosP!P16-DatosP!Q16+DatosP!DE16)/(DatosP!R16-DatosP!P16+DatosP!Q16-DatosP!DE16)),(DatosP!P16-DatosP!Q16+DatosP!DE16)/(DatosP!R16-DatosP!P16+DatosP!Q16-DatosP!DE16)," - ")</f>
        <v xml:space="preserve"> - </v>
      </c>
      <c r="AX12" s="700">
        <f>IF(ISNUMBER(Datos!EV12+DatosP!EV16),Datos!EV12+DatosP!EV16," - ")</f>
        <v>0</v>
      </c>
      <c r="AY12" s="700">
        <f>IF(ISNUMBER(Datos!CW12+DatosP!CW16),Datos!CW12+DatosP!CW16," - ")</f>
        <v>0</v>
      </c>
      <c r="AZ12" s="700">
        <f>Datos!CX12</f>
        <v>0</v>
      </c>
      <c r="BA12" s="700">
        <f>DatosP!CX16</f>
        <v>0</v>
      </c>
      <c r="BB12" s="701">
        <f>Datos!DU12</f>
        <v>0</v>
      </c>
      <c r="BC12" s="229" t="str">
        <f>IF(ISNUMBER(Datos!DC12),Datos!DC12," - ")</f>
        <v xml:space="preserve"> - </v>
      </c>
      <c r="BD12" s="229" t="str">
        <f>IF(ISNUMBER(DatosP!DC16),DatosP!DC16," - ")</f>
        <v xml:space="preserve"> - </v>
      </c>
      <c r="BE12" s="686" t="str">
        <f>IF(ISNUMBER(AG12+AC12-DatosP!J16),AG12+AC12-DatosP!J16," - ")</f>
        <v xml:space="preserve"> - </v>
      </c>
      <c r="BF12" s="702"/>
      <c r="BG12" s="702"/>
      <c r="BH12" s="702"/>
      <c r="BI12" s="702"/>
      <c r="BJ12" s="702"/>
      <c r="BK12" s="702"/>
      <c r="BL12" s="702"/>
      <c r="BM12" s="702"/>
    </row>
    <row r="13" spans="1:65" ht="15.75" thickTop="1" thickBot="1">
      <c r="A13" s="704"/>
      <c r="B13" s="704"/>
      <c r="C13" s="939" t="str">
        <f>Datos!A13</f>
        <v>TOTAL</v>
      </c>
      <c r="D13" s="940"/>
      <c r="E13" s="940">
        <f t="shared" ref="E13:V13" si="0">SUBTOTAL(9,E8:E12)</f>
        <v>2</v>
      </c>
      <c r="F13" s="941">
        <f t="shared" si="0"/>
        <v>9</v>
      </c>
      <c r="G13" s="941">
        <f t="shared" si="0"/>
        <v>9</v>
      </c>
      <c r="H13" s="941">
        <f t="shared" si="0"/>
        <v>0</v>
      </c>
      <c r="I13" s="943">
        <f t="shared" si="0"/>
        <v>0</v>
      </c>
      <c r="J13" s="942">
        <f t="shared" si="0"/>
        <v>0</v>
      </c>
      <c r="K13" s="942">
        <f t="shared" si="0"/>
        <v>0</v>
      </c>
      <c r="L13" s="944">
        <f t="shared" si="0"/>
        <v>0</v>
      </c>
      <c r="M13" s="944">
        <f t="shared" si="0"/>
        <v>0</v>
      </c>
      <c r="N13" s="942">
        <f t="shared" si="0"/>
        <v>249</v>
      </c>
      <c r="O13" s="942">
        <f t="shared" si="0"/>
        <v>0</v>
      </c>
      <c r="P13" s="942">
        <f t="shared" si="0"/>
        <v>0</v>
      </c>
      <c r="Q13" s="945">
        <f t="shared" si="0"/>
        <v>0</v>
      </c>
      <c r="R13" s="945">
        <f t="shared" si="0"/>
        <v>0</v>
      </c>
      <c r="S13" s="942">
        <f t="shared" si="0"/>
        <v>0</v>
      </c>
      <c r="T13" s="942">
        <f t="shared" si="0"/>
        <v>0</v>
      </c>
      <c r="U13" s="945">
        <f t="shared" si="0"/>
        <v>0</v>
      </c>
      <c r="V13" s="945">
        <f t="shared" si="0"/>
        <v>0</v>
      </c>
      <c r="W13" s="1018">
        <v>0</v>
      </c>
      <c r="X13" s="1023">
        <v>0</v>
      </c>
      <c r="Y13" s="944">
        <f>SUBTOTAL(9,Y8:Y12)</f>
        <v>0</v>
      </c>
      <c r="Z13" s="942">
        <f>SUBTOTAL(9,Z8:Z12)</f>
        <v>0</v>
      </c>
      <c r="AA13" s="946">
        <f>IF(ISNUMBER(AVERAGE(AA8:AA12)),AVERAGE(AA8:AA12),"-")</f>
        <v>0</v>
      </c>
      <c r="AB13" s="942">
        <f t="shared" ref="AB13:AO13" si="1">SUBTOTAL(9,AB8:AB12)</f>
        <v>8</v>
      </c>
      <c r="AC13" s="942">
        <f t="shared" si="1"/>
        <v>0</v>
      </c>
      <c r="AD13" s="942">
        <f t="shared" si="1"/>
        <v>280</v>
      </c>
      <c r="AE13" s="942">
        <f t="shared" si="1"/>
        <v>0</v>
      </c>
      <c r="AF13" s="942">
        <f t="shared" si="1"/>
        <v>8</v>
      </c>
      <c r="AG13" s="942">
        <f t="shared" si="1"/>
        <v>0</v>
      </c>
      <c r="AH13" s="942">
        <f t="shared" si="1"/>
        <v>1087</v>
      </c>
      <c r="AI13" s="942">
        <f t="shared" si="1"/>
        <v>0</v>
      </c>
      <c r="AJ13" s="942">
        <f t="shared" si="1"/>
        <v>0</v>
      </c>
      <c r="AK13" s="942">
        <f t="shared" si="1"/>
        <v>0</v>
      </c>
      <c r="AL13" s="942">
        <f t="shared" si="1"/>
        <v>241</v>
      </c>
      <c r="AM13" s="942">
        <f t="shared" si="1"/>
        <v>397</v>
      </c>
      <c r="AN13" s="942">
        <f t="shared" si="1"/>
        <v>0</v>
      </c>
      <c r="AO13" s="942">
        <f t="shared" si="1"/>
        <v>0</v>
      </c>
      <c r="AP13" s="947">
        <f>IF(ISNUMBER(((Datos!L13/Datos!K13)*11)/factor_trimestre),((Datos!L13/Datos!K13)*11)/factor_trimestre," - ")</f>
        <v>9.1579572446555826</v>
      </c>
      <c r="AQ13" s="947" t="str">
        <f>IF(ISNUMBER(((DatosP!L13/DatosP!K13)*11)/factor_trimestre),((DatosP!L13/DatosP!K13)*11)/factor_trimestre," - ")</f>
        <v xml:space="preserve"> - </v>
      </c>
      <c r="AR13" s="942" t="str">
        <f>IF(ISNUMBER(Datos!CI13/Datos!CJ13),Datos!CI13/Datos!CJ13," - ")</f>
        <v xml:space="preserve"> - </v>
      </c>
      <c r="AS13" s="942" t="str">
        <f>IF(ISNUMBER(DatosP!CJ13/DatosP!CK13),DatosP!CJ13/DatosP!CK13," - ")</f>
        <v xml:space="preserve"> - </v>
      </c>
      <c r="AT13" s="942">
        <f>IF(OR(ISNUMBER(FIND("04",Criterios!A8,1))),(BC13-AB13+J13)/(F13-J13),(H13-AB13+J13)/(F13-J13))</f>
        <v>-0.88888888888888884</v>
      </c>
      <c r="AU13" s="942" t="str">
        <f>IF(ISNUMBER((DatosP!#REF!-DatosP!#REF!+DatosP!#REF!)/(DatosP!#REF!+DatosP!#REF!-DatosP!#REF!-DatosP!#REF!)),(DatosP!#REF!-DatosP!#REF!+DatosP!#REF!)/(DatosP!#REF!+DatosP!#REF!-DatosP!#REF!-DatosP!#REF!)," - ")</f>
        <v xml:space="preserve"> - </v>
      </c>
      <c r="AV13" s="948">
        <f>SUBTOTAL(9,AV9:AV12)</f>
        <v>-3.1194295900178252E-2</v>
      </c>
      <c r="AW13" s="948">
        <f>SUBTOTAL(9,AW9:AW12)</f>
        <v>0</v>
      </c>
      <c r="AX13" s="942">
        <f>SUBTOTAL(9,AX8:AX12)</f>
        <v>0</v>
      </c>
      <c r="AY13" s="942">
        <f>SUBTOTAL(9,AY8:AY12)</f>
        <v>0</v>
      </c>
      <c r="AZ13" s="942"/>
      <c r="BA13" s="942"/>
      <c r="BB13" s="942"/>
      <c r="BC13" s="236">
        <f>SUBTOTAL(9,BC8:BC12)</f>
        <v>0</v>
      </c>
      <c r="BD13" s="236">
        <f>SUBTOTAL(9,BD8:BD12)</f>
        <v>0</v>
      </c>
      <c r="BE13" s="705">
        <f>SUBTOTAL(9,BE8:BE12)</f>
        <v>0</v>
      </c>
      <c r="BF13" s="706"/>
      <c r="BG13" s="706"/>
      <c r="BH13" s="706"/>
      <c r="BI13" s="706"/>
      <c r="BJ13" s="706"/>
      <c r="BK13" s="706"/>
      <c r="BL13" s="706"/>
      <c r="BM13" s="706"/>
    </row>
    <row r="14" spans="1:65" ht="15" thickTop="1">
      <c r="A14" s="513"/>
      <c r="B14" s="513"/>
      <c r="C14" s="289" t="str">
        <f>Datos!A14</f>
        <v xml:space="preserve">Jurisdicción Penal ( 2 ):                      </v>
      </c>
      <c r="D14" s="514"/>
      <c r="E14" s="707"/>
      <c r="F14" s="708"/>
      <c r="G14" s="708"/>
      <c r="H14" s="710"/>
      <c r="I14" s="668"/>
      <c r="J14" s="709"/>
      <c r="K14" s="709"/>
      <c r="L14" s="709"/>
      <c r="M14" s="709"/>
      <c r="N14" s="688"/>
      <c r="O14" s="688"/>
      <c r="P14" s="688"/>
      <c r="Q14" s="711"/>
      <c r="R14" s="711"/>
      <c r="S14" s="688"/>
      <c r="T14" s="688"/>
      <c r="U14" s="703"/>
      <c r="V14" s="703"/>
      <c r="W14" s="688"/>
      <c r="X14" s="1022"/>
      <c r="Y14" s="783"/>
      <c r="Z14" s="686"/>
      <c r="AA14" s="712"/>
      <c r="AB14" s="686"/>
      <c r="AC14" s="686"/>
      <c r="AD14" s="688"/>
      <c r="AE14" s="688"/>
      <c r="AF14" s="710"/>
      <c r="AG14" s="710"/>
      <c r="AH14" s="692"/>
      <c r="AI14" s="692"/>
      <c r="AJ14" s="685"/>
      <c r="AK14" s="675"/>
      <c r="AL14" s="686"/>
      <c r="AM14" s="693"/>
      <c r="AN14" s="693"/>
      <c r="AO14" s="694"/>
      <c r="AP14" s="696"/>
      <c r="AQ14" s="696"/>
      <c r="AR14" s="697"/>
      <c r="AS14" s="697"/>
      <c r="AT14" s="697"/>
      <c r="AU14" s="697"/>
      <c r="AV14" s="713"/>
      <c r="AW14" s="713"/>
      <c r="AX14" s="700"/>
      <c r="AY14" s="700"/>
      <c r="AZ14" s="700"/>
      <c r="BA14" s="700"/>
      <c r="BB14" s="701"/>
      <c r="BC14" s="220"/>
      <c r="BD14" s="220"/>
      <c r="BE14" s="708"/>
      <c r="BF14" s="715"/>
      <c r="BG14" s="715"/>
      <c r="BH14" s="715"/>
      <c r="BI14" s="715"/>
      <c r="BJ14" s="715"/>
      <c r="BK14" s="715"/>
      <c r="BL14" s="715"/>
      <c r="BM14" s="715"/>
    </row>
    <row r="15" spans="1:65" s="724" customFormat="1" ht="14.25">
      <c r="A15" s="596">
        <f>Datos!AO15</f>
        <v>0</v>
      </c>
      <c r="B15" s="597" t="s">
        <v>396</v>
      </c>
      <c r="C15" s="603" t="str">
        <f>Datos!A15</f>
        <v xml:space="preserve">Jdos. Instrucción                               </v>
      </c>
      <c r="D15" s="604"/>
      <c r="E15" s="716"/>
      <c r="F15" s="717"/>
      <c r="G15" s="718"/>
      <c r="H15" s="717"/>
      <c r="I15" s="688"/>
      <c r="J15" s="719"/>
      <c r="K15" s="719"/>
      <c r="L15" s="720"/>
      <c r="M15" s="720"/>
      <c r="N15" s="688"/>
      <c r="O15" s="688"/>
      <c r="P15" s="688"/>
      <c r="Q15" s="721"/>
      <c r="R15" s="721"/>
      <c r="S15" s="688"/>
      <c r="T15" s="688"/>
      <c r="U15" s="703"/>
      <c r="V15" s="703"/>
      <c r="W15" s="688"/>
      <c r="X15" s="1022"/>
      <c r="Y15" s="788"/>
      <c r="Z15" s="686"/>
      <c r="AA15" s="712"/>
      <c r="AB15" s="686"/>
      <c r="AC15" s="686"/>
      <c r="AD15" s="688"/>
      <c r="AE15" s="688"/>
      <c r="AF15" s="722"/>
      <c r="AG15" s="722"/>
      <c r="AH15" s="692"/>
      <c r="AI15" s="692"/>
      <c r="AJ15" s="685"/>
      <c r="AK15" s="675"/>
      <c r="AL15" s="686"/>
      <c r="AM15" s="693"/>
      <c r="AN15" s="693"/>
      <c r="AO15" s="694"/>
      <c r="AP15" s="696"/>
      <c r="AQ15" s="696"/>
      <c r="AR15" s="697"/>
      <c r="AS15" s="697"/>
      <c r="AT15" s="697"/>
      <c r="AU15" s="697"/>
      <c r="AV15" s="713"/>
      <c r="AW15" s="713"/>
      <c r="AX15" s="700"/>
      <c r="AY15" s="700"/>
      <c r="AZ15" s="700"/>
      <c r="BA15" s="700"/>
      <c r="BB15" s="701"/>
      <c r="BC15" s="229"/>
      <c r="BD15" s="229"/>
      <c r="BE15" s="717"/>
      <c r="BF15" s="725"/>
      <c r="BG15" s="725"/>
      <c r="BH15" s="725"/>
      <c r="BI15" s="725"/>
      <c r="BJ15" s="725"/>
      <c r="BK15" s="725"/>
      <c r="BL15" s="725"/>
      <c r="BM15" s="725"/>
    </row>
    <row r="16" spans="1:65" ht="15">
      <c r="A16" s="504">
        <f>Datos!AO16</f>
        <v>2</v>
      </c>
      <c r="B16" s="510" t="s">
        <v>396</v>
      </c>
      <c r="C16" s="163" t="str">
        <f>Datos!A16</f>
        <v xml:space="preserve">Jdos. 1ª Instª. e Instr.                        </v>
      </c>
      <c r="D16" s="505"/>
      <c r="E16" s="700"/>
      <c r="F16" s="686"/>
      <c r="G16" s="687"/>
      <c r="H16" s="686"/>
      <c r="I16" s="688"/>
      <c r="J16" s="688"/>
      <c r="K16" s="688"/>
      <c r="L16" s="685"/>
      <c r="M16" s="685"/>
      <c r="N16" s="688"/>
      <c r="O16" s="688"/>
      <c r="P16" s="688"/>
      <c r="Q16" s="689"/>
      <c r="R16" s="689"/>
      <c r="S16" s="688" t="str">
        <f>IF(ISNUMBER(Datos!AS16*(2500/380)+DatosP!#REF!),Datos!AS16*(2500/380)+DatosP!#REF!," - ")</f>
        <v xml:space="preserve"> - </v>
      </c>
      <c r="T16" s="688"/>
      <c r="U16" s="690" t="str">
        <f>IF(ISNUMBER(S16/((Datos!BM16+DatosP!#REF!)/factor_trimestre)),S16/((Datos!BM16+DatosP!#REF!)/factor_trimestre)," - ")</f>
        <v xml:space="preserve"> - </v>
      </c>
      <c r="V16" s="690"/>
      <c r="W16" s="688"/>
      <c r="X16" s="1021"/>
      <c r="Y16" s="786"/>
      <c r="Z16" s="686"/>
      <c r="AA16" s="728"/>
      <c r="AB16" s="686"/>
      <c r="AC16" s="686"/>
      <c r="AD16" s="688"/>
      <c r="AE16" s="688"/>
      <c r="AF16" s="691"/>
      <c r="AG16" s="691"/>
      <c r="AH16" s="692"/>
      <c r="AI16" s="692"/>
      <c r="AJ16" s="685"/>
      <c r="AK16" s="675"/>
      <c r="AL16" s="686"/>
      <c r="AM16" s="693"/>
      <c r="AN16" s="693"/>
      <c r="AO16" s="694"/>
      <c r="AP16" s="696"/>
      <c r="AQ16" s="696"/>
      <c r="AR16" s="697"/>
      <c r="AS16" s="697"/>
      <c r="AT16" s="697"/>
      <c r="AU16" s="697"/>
      <c r="AV16" s="698"/>
      <c r="AW16" s="698"/>
      <c r="AX16" s="700"/>
      <c r="AY16" s="700"/>
      <c r="AZ16" s="700"/>
      <c r="BA16" s="700"/>
      <c r="BB16" s="701"/>
      <c r="BC16" s="229"/>
      <c r="BD16" s="229"/>
      <c r="BE16" s="686"/>
      <c r="BF16" s="702"/>
      <c r="BG16" s="702"/>
      <c r="BH16" s="702"/>
      <c r="BI16" s="702"/>
      <c r="BJ16" s="702"/>
      <c r="BK16" s="702"/>
      <c r="BL16" s="702"/>
      <c r="BM16" s="702"/>
    </row>
    <row r="17" spans="1:65" ht="15" thickBot="1">
      <c r="A17" s="504">
        <f>Datos!AO17</f>
        <v>1</v>
      </c>
      <c r="B17" s="510" t="s">
        <v>396</v>
      </c>
      <c r="C17" s="7" t="str">
        <f>Datos!A17</f>
        <v>Jdos. Violencia contra la mujer</v>
      </c>
      <c r="D17" s="511"/>
      <c r="E17" s="700"/>
      <c r="F17" s="686"/>
      <c r="G17" s="687"/>
      <c r="H17" s="686"/>
      <c r="I17" s="688"/>
      <c r="J17" s="688"/>
      <c r="K17" s="688"/>
      <c r="L17" s="685"/>
      <c r="M17" s="685"/>
      <c r="N17" s="688"/>
      <c r="O17" s="688"/>
      <c r="P17" s="688"/>
      <c r="Q17" s="689"/>
      <c r="R17" s="689"/>
      <c r="S17" s="688"/>
      <c r="T17" s="688"/>
      <c r="U17" s="690"/>
      <c r="V17" s="690"/>
      <c r="W17" s="688"/>
      <c r="X17" s="1021"/>
      <c r="Y17" s="786"/>
      <c r="Z17" s="686"/>
      <c r="AA17" s="728"/>
      <c r="AB17" s="686"/>
      <c r="AC17" s="686"/>
      <c r="AD17" s="688"/>
      <c r="AE17" s="688"/>
      <c r="AF17" s="691"/>
      <c r="AG17" s="691"/>
      <c r="AH17" s="692"/>
      <c r="AI17" s="692"/>
      <c r="AJ17" s="685"/>
      <c r="AK17" s="675"/>
      <c r="AL17" s="686"/>
      <c r="AM17" s="693"/>
      <c r="AN17" s="693"/>
      <c r="AO17" s="694"/>
      <c r="AP17" s="696"/>
      <c r="AQ17" s="696"/>
      <c r="AR17" s="697"/>
      <c r="AS17" s="697"/>
      <c r="AT17" s="697"/>
      <c r="AU17" s="697"/>
      <c r="AV17" s="698"/>
      <c r="AW17" s="698"/>
      <c r="AX17" s="700"/>
      <c r="AY17" s="700"/>
      <c r="AZ17" s="700"/>
      <c r="BA17" s="700"/>
      <c r="BB17" s="701"/>
      <c r="BC17" s="229"/>
      <c r="BD17" s="229"/>
      <c r="BE17" s="686"/>
      <c r="BF17" s="702"/>
      <c r="BG17" s="702"/>
      <c r="BH17" s="702"/>
      <c r="BI17" s="702"/>
      <c r="BJ17" s="702"/>
      <c r="BK17" s="702"/>
      <c r="BL17" s="702"/>
      <c r="BM17" s="702"/>
    </row>
    <row r="18" spans="1:65" ht="15.75" thickTop="1" thickBot="1">
      <c r="A18" s="704"/>
      <c r="B18" s="704"/>
      <c r="C18" s="939" t="str">
        <f>Datos!A18</f>
        <v>TOTAL</v>
      </c>
      <c r="D18" s="940"/>
      <c r="E18" s="940">
        <f>SUBTOTAL(9,E15:E17)</f>
        <v>0</v>
      </c>
      <c r="F18" s="941">
        <f>SUBTOTAL(9,F15:F17)</f>
        <v>0</v>
      </c>
      <c r="G18" s="941">
        <f>SUBTOTAL(9,G15:G17)</f>
        <v>0</v>
      </c>
      <c r="H18" s="941">
        <f>SUBTOTAL(9,H15:H17)</f>
        <v>0</v>
      </c>
      <c r="I18" s="943">
        <f>SUBTOTAL(9,I14:I17)</f>
        <v>0</v>
      </c>
      <c r="J18" s="942">
        <f t="shared" ref="J18:V18" si="2">SUBTOTAL(9,J15:J17)</f>
        <v>0</v>
      </c>
      <c r="K18" s="942">
        <f t="shared" si="2"/>
        <v>0</v>
      </c>
      <c r="L18" s="944">
        <f t="shared" si="2"/>
        <v>0</v>
      </c>
      <c r="M18" s="944">
        <f t="shared" si="2"/>
        <v>0</v>
      </c>
      <c r="N18" s="942">
        <f t="shared" si="2"/>
        <v>0</v>
      </c>
      <c r="O18" s="942">
        <f t="shared" si="2"/>
        <v>0</v>
      </c>
      <c r="P18" s="942">
        <f t="shared" si="2"/>
        <v>0</v>
      </c>
      <c r="Q18" s="945">
        <f t="shared" si="2"/>
        <v>0</v>
      </c>
      <c r="R18" s="945">
        <f t="shared" si="2"/>
        <v>0</v>
      </c>
      <c r="S18" s="942">
        <f t="shared" si="2"/>
        <v>0</v>
      </c>
      <c r="T18" s="942">
        <f t="shared" si="2"/>
        <v>0</v>
      </c>
      <c r="U18" s="945">
        <f t="shared" si="2"/>
        <v>0</v>
      </c>
      <c r="V18" s="945">
        <f t="shared" si="2"/>
        <v>0</v>
      </c>
      <c r="W18" s="1018">
        <v>0</v>
      </c>
      <c r="X18" s="1023">
        <v>0</v>
      </c>
      <c r="Y18" s="944">
        <f>SUBTOTAL(9,Y15:Y17)</f>
        <v>0</v>
      </c>
      <c r="Z18" s="942">
        <f>SUBTOTAL(9,Z15:Z17)</f>
        <v>0</v>
      </c>
      <c r="AA18" s="946" t="str">
        <f>IF(ISNUMBER((Z18*factor_trimestre)/Datos!CN18),(Z18*factor_trimestre)/Datos!CN18,"-")</f>
        <v>-</v>
      </c>
      <c r="AB18" s="942">
        <f t="shared" ref="AB18:AO18" si="3">SUBTOTAL(9,AB15:AB17)</f>
        <v>0</v>
      </c>
      <c r="AC18" s="942">
        <f t="shared" si="3"/>
        <v>0</v>
      </c>
      <c r="AD18" s="942">
        <f t="shared" si="3"/>
        <v>0</v>
      </c>
      <c r="AE18" s="942">
        <f t="shared" si="3"/>
        <v>0</v>
      </c>
      <c r="AF18" s="942">
        <f t="shared" si="3"/>
        <v>0</v>
      </c>
      <c r="AG18" s="942">
        <f t="shared" si="3"/>
        <v>0</v>
      </c>
      <c r="AH18" s="942">
        <f t="shared" si="3"/>
        <v>0</v>
      </c>
      <c r="AI18" s="942">
        <f t="shared" si="3"/>
        <v>0</v>
      </c>
      <c r="AJ18" s="942">
        <f t="shared" si="3"/>
        <v>0</v>
      </c>
      <c r="AK18" s="942">
        <f t="shared" si="3"/>
        <v>0</v>
      </c>
      <c r="AL18" s="942">
        <f t="shared" si="3"/>
        <v>0</v>
      </c>
      <c r="AM18" s="942">
        <f t="shared" si="3"/>
        <v>0</v>
      </c>
      <c r="AN18" s="942">
        <f t="shared" si="3"/>
        <v>0</v>
      </c>
      <c r="AO18" s="942">
        <f t="shared" si="3"/>
        <v>0</v>
      </c>
      <c r="AP18" s="947">
        <f>IF(ISNUMBER(((Datos!L18/Datos!K18)*11)/factor_trimestre),((Datos!L18/Datos!K18)*11)/factor_trimestre," - ")</f>
        <v>3.0902636916835702</v>
      </c>
      <c r="AQ18" s="947">
        <f>IF(ISNUMBER(((Datos!M18/Datos!L18)*11)/factor_trimestre),((Datos!M18/Datos!L18)*11)/factor_trimestre," - ")</f>
        <v>5.7581227436823106</v>
      </c>
      <c r="AR18" s="942">
        <f>SUBTOTAL(9,AR15:AR17)</f>
        <v>0</v>
      </c>
      <c r="AS18" s="942">
        <f>SUBTOTAL(9,AS15:AS17)</f>
        <v>0</v>
      </c>
      <c r="AT18" s="948" t="str">
        <f>IF(ISNUMBER((H18-AB18+K18)/(F18-K18)),(H18-AB18+K18)/(F18-K18)," - ")</f>
        <v xml:space="preserve"> - </v>
      </c>
      <c r="AU18" s="948" t="str">
        <f>IF(ISNUMBER((I18-AC18+L18)/(G18-L18)),(I18-AC18+L18)/(G18-L18)," - ")</f>
        <v xml:space="preserve"> - </v>
      </c>
      <c r="AV18" s="949">
        <f>IF(ISNUMBER((Datos!P18-Datos!Q18)/(Datos!R18-Datos!P18+Datos!Q18)),(Datos!P18-Datos!Q18)/(Datos!R18-Datos!P18+Datos!Q18)," - ")</f>
        <v>0.18604651162790697</v>
      </c>
      <c r="AW18" s="949">
        <f>IF(ISNUMBER((Datos!Q18-Datos!R18)/(Datos!S18-Datos!Q18+Datos!R18)),(Datos!Q18-Datos!R18)/(Datos!S18-Datos!Q18+Datos!R18)," - ")</f>
        <v>-0.10714285714285714</v>
      </c>
      <c r="AX18" s="942">
        <f>SUBTOTAL(9,AX15:AX17)</f>
        <v>0</v>
      </c>
      <c r="AY18" s="942">
        <f>SUBTOTAL(9,AY15:AY17)</f>
        <v>0</v>
      </c>
      <c r="AZ18" s="942"/>
      <c r="BA18" s="942"/>
      <c r="BB18" s="950"/>
      <c r="BC18" s="236">
        <f>SUBTOTAL(9,BC14:BC17)</f>
        <v>0</v>
      </c>
      <c r="BD18" s="236">
        <f>SUBTOTAL(9,BD14:BD17)</f>
        <v>0</v>
      </c>
      <c r="BE18" s="705">
        <f>SUBTOTAL(9,BE15:BE17)</f>
        <v>0</v>
      </c>
      <c r="BF18" s="706"/>
      <c r="BG18" s="706"/>
      <c r="BH18" s="706"/>
      <c r="BI18" s="706"/>
      <c r="BJ18" s="706"/>
      <c r="BK18" s="706"/>
      <c r="BL18" s="706"/>
      <c r="BM18" s="706"/>
    </row>
    <row r="19" spans="1:65" ht="18.75" customHeight="1" thickTop="1" thickBot="1">
      <c r="A19" s="731"/>
      <c r="B19" s="731"/>
      <c r="C19" s="952" t="str">
        <f>Datos!A19</f>
        <v>TOTAL JURISDICCIONES</v>
      </c>
      <c r="D19" s="952"/>
      <c r="E19" s="953">
        <f t="shared" ref="E19:T19" si="4">SUBTOTAL(9,E9:E18)</f>
        <v>2</v>
      </c>
      <c r="F19" s="954">
        <f t="shared" si="4"/>
        <v>9</v>
      </c>
      <c r="G19" s="954">
        <f t="shared" si="4"/>
        <v>9</v>
      </c>
      <c r="H19" s="954">
        <f t="shared" si="4"/>
        <v>0</v>
      </c>
      <c r="I19" s="955">
        <f t="shared" si="4"/>
        <v>0</v>
      </c>
      <c r="J19" s="956">
        <f t="shared" si="4"/>
        <v>0</v>
      </c>
      <c r="K19" s="956">
        <f t="shared" si="4"/>
        <v>0</v>
      </c>
      <c r="L19" s="956">
        <f t="shared" si="4"/>
        <v>0</v>
      </c>
      <c r="M19" s="956">
        <f t="shared" si="4"/>
        <v>0</v>
      </c>
      <c r="N19" s="955">
        <f t="shared" si="4"/>
        <v>249</v>
      </c>
      <c r="O19" s="955">
        <f t="shared" si="4"/>
        <v>0</v>
      </c>
      <c r="P19" s="955">
        <f t="shared" si="4"/>
        <v>0</v>
      </c>
      <c r="Q19" s="988">
        <f t="shared" si="4"/>
        <v>0</v>
      </c>
      <c r="R19" s="988">
        <f t="shared" si="4"/>
        <v>0</v>
      </c>
      <c r="S19" s="955">
        <f t="shared" si="4"/>
        <v>0</v>
      </c>
      <c r="T19" s="955">
        <f t="shared" si="4"/>
        <v>0</v>
      </c>
      <c r="U19" s="957">
        <f>IF(ISNUMBER(AVERAGE(U8:U18)),AVERAGE(U8:U18),"-")</f>
        <v>0</v>
      </c>
      <c r="V19" s="957">
        <f>IF(ISNUMBER(AVERAGE(V8:V18)),AVERAGE(V8:V18),"-")</f>
        <v>0</v>
      </c>
      <c r="W19" s="955">
        <f>SUBTOTAL(9,W9:W18)</f>
        <v>0</v>
      </c>
      <c r="X19" s="957">
        <f>IF(ISNUMBER(AVERAGE(X8:X18)),AVERAGE(X8:X18),"-")</f>
        <v>0</v>
      </c>
      <c r="Y19" s="989">
        <f>SUBTOTAL(9,Y9:Y18)</f>
        <v>0</v>
      </c>
      <c r="Z19" s="958">
        <f>SUBTOTAL(9,Z9:Z18)</f>
        <v>0</v>
      </c>
      <c r="AA19" s="959">
        <f>IF(ISNUMBER(AVERAGE(AA8:AA18)),AVERAGE(AA8:AA18),"-")</f>
        <v>0</v>
      </c>
      <c r="AB19" s="960">
        <f t="shared" ref="AB19:AO19" si="5">SUBTOTAL(9,AB9:AB18)</f>
        <v>8</v>
      </c>
      <c r="AC19" s="960">
        <f t="shared" si="5"/>
        <v>0</v>
      </c>
      <c r="AD19" s="960">
        <f t="shared" si="5"/>
        <v>280</v>
      </c>
      <c r="AE19" s="960">
        <f t="shared" si="5"/>
        <v>0</v>
      </c>
      <c r="AF19" s="961">
        <f t="shared" si="5"/>
        <v>8</v>
      </c>
      <c r="AG19" s="961">
        <f t="shared" si="5"/>
        <v>0</v>
      </c>
      <c r="AH19" s="961">
        <f t="shared" si="5"/>
        <v>1087</v>
      </c>
      <c r="AI19" s="961">
        <f t="shared" si="5"/>
        <v>0</v>
      </c>
      <c r="AJ19" s="962">
        <f t="shared" si="5"/>
        <v>0</v>
      </c>
      <c r="AK19" s="962">
        <f t="shared" si="5"/>
        <v>0</v>
      </c>
      <c r="AL19" s="954">
        <f t="shared" si="5"/>
        <v>241</v>
      </c>
      <c r="AM19" s="954">
        <f t="shared" si="5"/>
        <v>397</v>
      </c>
      <c r="AN19" s="954">
        <f t="shared" si="5"/>
        <v>0</v>
      </c>
      <c r="AO19" s="954">
        <f t="shared" si="5"/>
        <v>0</v>
      </c>
      <c r="AP19" s="954">
        <f>IF(ISNUMBER(((Datos!L19/Datos!K19)*11)/factor_trimestre),((Datos!L19/Datos!K19)*11)/factor_trimestre," - ")</f>
        <v>5.8851203501094096</v>
      </c>
      <c r="AQ19" s="954" t="str">
        <f>IF(ISNUMBER(((DatosP!L19/DatosP!K19)*11)/factor_trimestre),((DatosP!L19/DatosP!K19)*11)/factor_trimestre," - ")</f>
        <v xml:space="preserve"> - </v>
      </c>
      <c r="AR19" s="965" t="str">
        <f>IF(ISNUMBER(Datos!CI19/Datos!CJ19),Datos!CI19/Datos!CJ19," - ")</f>
        <v xml:space="preserve"> - </v>
      </c>
      <c r="AS19" s="965" t="str">
        <f>IF(ISNUMBER(DatosP!CI19/DatosP!CJ19),DatosP!CI19/DatosP!CJ19," - ")</f>
        <v xml:space="preserve"> - </v>
      </c>
      <c r="AT19" s="966">
        <f>IF(OR(ISNUMBER(FIND("04",Criterios!A8,1))),(BC19-AB19+J19)/(F19-J19),(H19-AB19+J19)/(F19-J19))</f>
        <v>-0.88888888888888884</v>
      </c>
      <c r="AU19" s="966" t="e">
        <f>IF(ISNUMBER(FIND("04",Criterios!A8,1)),(DatosP!DC19-DatosP!K19+DatosP!DF19)/(DatosP!L19+DatosP!K19-DatosP!J19-DatosP!DF19),(DatosP!DB19-DatosP!K19+DatosP!DF19)/(DatosP!L19+DatosP!K19-DatosP!J19-DatosP!DF19))</f>
        <v>#DIV/0!</v>
      </c>
      <c r="AV19" s="967">
        <f>IF(ISNUMBER((Datos!P19-Datos!Q19+Datos!DE19)/(Datos!R19-Datos!P19+Datos!Q19-Datos!DE19)),(Datos!P19-Datos!Q19+Datos!DE19)/(Datos!R19-Datos!P19+Datos!Q19-Datos!DE19)," - ")</f>
        <v>-1.9725557461406518E-2</v>
      </c>
      <c r="AW19" s="967" t="str">
        <f>IF(ISNUMBER((DatosP!P19-DatosP!Q19+DatosP!DE19)/(DatosP!R19-DatosP!P19+DatosP!Q19-DatosP!DE19)),(DatosP!P19-DatosP!Q19+DatosP!DE19)/(DatosP!R19-DatosP!P19+DatosP!Q19-DatosP!DE19)," - ")</f>
        <v xml:space="preserve"> - </v>
      </c>
      <c r="AX19" s="969">
        <f>SUBTOTAL(9,AX9:AX18)</f>
        <v>0</v>
      </c>
      <c r="AY19" s="969">
        <f>SUBTOTAL(9,AY9:AY18)</f>
        <v>0</v>
      </c>
      <c r="AZ19" s="970"/>
      <c r="BA19" s="970"/>
      <c r="BB19" s="971"/>
      <c r="BC19" s="287">
        <f>SUBTOTAL(9,BC9:BC18)</f>
        <v>0</v>
      </c>
      <c r="BD19" s="287">
        <f>SUBTOTAL(9,BD9:BD18)</f>
        <v>0</v>
      </c>
      <c r="BE19" s="732">
        <f>SUBTOTAL(9,BE9:BE18)</f>
        <v>0</v>
      </c>
      <c r="BF19" s="734"/>
      <c r="BG19" s="734"/>
      <c r="BH19" s="734"/>
      <c r="BI19" s="734"/>
      <c r="BJ19" s="734"/>
      <c r="BK19" s="734"/>
      <c r="BL19" s="734"/>
      <c r="BM19" s="734"/>
    </row>
    <row r="20" spans="1:65" ht="18.75" customHeight="1" thickTop="1" thickBot="1">
      <c r="A20" s="735"/>
      <c r="B20" s="735"/>
      <c r="C20" s="972" t="s">
        <v>264</v>
      </c>
      <c r="D20" s="973"/>
      <c r="E20" s="973">
        <f ca="1">IF(ISNUMBER(SUMIF($B8:$B18,$B20,E8:E18)/INDIRECT("Datos!AP"&amp;ROW()-1)),SUMIF($B8:$B18,$B20,E8:E18)/INDIRECT("Datos!AP"&amp;ROW()-1),"-")</f>
        <v>0</v>
      </c>
      <c r="F20" s="964">
        <f ca="1">IF(ISNUMBER(SUMIF($B8:$B18,$B20,F8:F18)/INDIRECT("Datos!AP"&amp;ROW()-1)),SUMIF($B8:$B18,$B20,F8:F18)/INDIRECT("Datos!AP"&amp;ROW()-1),"-")</f>
        <v>0</v>
      </c>
      <c r="G20" s="974">
        <f>IF(ISNUMBER(AVERAGE(G8:G18)),AVERAGE(G8:G18),"-")</f>
        <v>6</v>
      </c>
      <c r="H20" s="964">
        <f t="shared" ref="H20:S20" ca="1" si="6">IF(ISNUMBER(SUMIF($B8:$B18,$B20,H8:H18)/INDIRECT("Datos!AP"&amp;ROW()-1)),SUMIF($B8:$B18,$B20,H8:H18)/INDIRECT("Datos!AP"&amp;ROW()-1),"-")</f>
        <v>0</v>
      </c>
      <c r="I20" s="975">
        <f t="shared" ca="1" si="6"/>
        <v>0</v>
      </c>
      <c r="J20" s="975">
        <f t="shared" ca="1" si="6"/>
        <v>0</v>
      </c>
      <c r="K20" s="975">
        <f t="shared" ca="1" si="6"/>
        <v>0</v>
      </c>
      <c r="L20" s="975">
        <f t="shared" ca="1" si="6"/>
        <v>0</v>
      </c>
      <c r="M20" s="975">
        <f t="shared" ca="1" si="6"/>
        <v>0</v>
      </c>
      <c r="N20" s="975">
        <f t="shared" ca="1" si="6"/>
        <v>0</v>
      </c>
      <c r="O20" s="975">
        <f t="shared" ca="1" si="6"/>
        <v>0</v>
      </c>
      <c r="P20" s="975">
        <f t="shared" ca="1" si="6"/>
        <v>0</v>
      </c>
      <c r="Q20" s="976">
        <f t="shared" ca="1" si="6"/>
        <v>0</v>
      </c>
      <c r="R20" s="976">
        <f t="shared" ca="1" si="6"/>
        <v>0</v>
      </c>
      <c r="S20" s="975">
        <f t="shared" ca="1" si="6"/>
        <v>0</v>
      </c>
      <c r="T20" s="975" t="str">
        <f ca="1">IF(ISNUMBER(SUMIF($B8:$B18,$B20,T8:T18)/INDIRECT("DatosP!AP"&amp;ROW()-1)),SUMIF($B8:$B18,$B20,T8:T18)/INDIRECT("DatosP!AP"&amp;ROW()-1),"-")</f>
        <v>-</v>
      </c>
      <c r="U20" s="977">
        <f ca="1">IF(ISNUMBER(SUMIF($B8:$B18,$B20,U8:U18)/INDIRECT("Datos!AP"&amp;ROW()-1)),SUMIF($B8:$B18,$B20,U8:U18)/INDIRECT("Datos!AP"&amp;ROW()-1),"-")</f>
        <v>0</v>
      </c>
      <c r="V20" s="977">
        <f ca="1">IF(ISNUMBER(SUMIF($B8:$B18,$B20,V8:V18)/INDIRECT("Datos!AP"&amp;ROW()-1)),SUMIF($B8:$B18,$B20,V8:V18)/INDIRECT("Datos!AP"&amp;ROW()-1),"-")</f>
        <v>0</v>
      </c>
      <c r="W20" s="975" t="str">
        <f ca="1">IF(ISNUMBER(SUMIF($B8:$B18,$B20,W8:W18)/INDIRECT("DatosP!AP"&amp;ROW()-1)),SUMIF($B8:$B18,$B20,W8:W18)/INDIRECT("DatosP!AP"&amp;ROW()-1),"-")</f>
        <v>-</v>
      </c>
      <c r="X20" s="977">
        <f t="shared" ref="X20:AP20" ca="1" si="7">IF(ISNUMBER(SUMIF($B8:$B18,$B20,X8:X18)/INDIRECT("Datos!AP"&amp;ROW()-1)),SUMIF($B8:$B18,$B20,X8:X18)/INDIRECT("Datos!AP"&amp;ROW()-1),"-")</f>
        <v>0</v>
      </c>
      <c r="Y20" s="990">
        <f t="shared" ca="1" si="7"/>
        <v>0</v>
      </c>
      <c r="Z20" s="978">
        <f t="shared" ca="1" si="7"/>
        <v>0</v>
      </c>
      <c r="AA20" s="979">
        <f t="shared" ca="1" si="7"/>
        <v>0</v>
      </c>
      <c r="AB20" s="980">
        <f t="shared" ca="1" si="7"/>
        <v>0</v>
      </c>
      <c r="AC20" s="980">
        <f t="shared" ca="1" si="7"/>
        <v>0</v>
      </c>
      <c r="AD20" s="980">
        <f t="shared" ca="1" si="7"/>
        <v>0</v>
      </c>
      <c r="AE20" s="980">
        <f t="shared" ca="1" si="7"/>
        <v>0</v>
      </c>
      <c r="AF20" s="980">
        <f t="shared" ca="1" si="7"/>
        <v>0</v>
      </c>
      <c r="AG20" s="980">
        <f t="shared" ca="1" si="7"/>
        <v>0</v>
      </c>
      <c r="AH20" s="980">
        <f t="shared" ca="1" si="7"/>
        <v>0</v>
      </c>
      <c r="AI20" s="980">
        <f t="shared" ca="1" si="7"/>
        <v>0</v>
      </c>
      <c r="AJ20" s="975">
        <f t="shared" ca="1" si="7"/>
        <v>0</v>
      </c>
      <c r="AK20" s="982">
        <f t="shared" ca="1" si="7"/>
        <v>0</v>
      </c>
      <c r="AL20" s="964">
        <f t="shared" ca="1" si="7"/>
        <v>0</v>
      </c>
      <c r="AM20" s="964">
        <f t="shared" ca="1" si="7"/>
        <v>0</v>
      </c>
      <c r="AN20" s="964">
        <f t="shared" ca="1" si="7"/>
        <v>0</v>
      </c>
      <c r="AO20" s="975">
        <f t="shared" ca="1" si="7"/>
        <v>0</v>
      </c>
      <c r="AP20" s="975">
        <f t="shared" ca="1" si="7"/>
        <v>0</v>
      </c>
      <c r="AQ20" s="975" t="str">
        <f ca="1">IF(ISNUMBER(SUMIF($B8:$B18,$B20,AQ8:AQ18)/INDIRECT("DatosP!AP"&amp;ROW()-1)),SUMIF($B8:$B18,$B20,AQ8:AQ18)/INDIRECT("DatosP!AP"&amp;ROW()-1),"-")</f>
        <v>-</v>
      </c>
      <c r="AR20" s="983" t="e">
        <f ca="1">INDIRECT("Datos!CI"&amp;ROW()-1)/INDIRECT("Datos!CJ"&amp;ROW()-1)</f>
        <v>#DIV/0!</v>
      </c>
      <c r="AS20" s="983" t="e">
        <f ca="1">INDIRECT("DatosP!CI"&amp;ROW()-1)/INDIRECT("DatosP!CJ"&amp;ROW()-1)</f>
        <v>#DIV/0!</v>
      </c>
      <c r="AT20" s="966" t="e">
        <f ca="1">IF(OR(ISNUMBER(FIND("04",Criterios!A8,1))),(BC20-AB20+J20)/(F20-J20),(H20-AB20+J20)/(F20-J20))</f>
        <v>#DIV/0!</v>
      </c>
      <c r="AU20" s="966" t="str">
        <f ca="1">(INDIRECT("AW"&amp;ROW()-1))</f>
        <v xml:space="preserve"> - </v>
      </c>
      <c r="AV20" s="984">
        <f ca="1">IF(ISNUMBER(SUMIF($B8:$B18,$B20,AV8:AV18)/INDIRECT("Datos!AP"&amp;ROW()-1)),SUMIF($B8:$B18,$B20,AV8:AV18)/INDIRECT("Datos!AP"&amp;ROW()-1),"-")</f>
        <v>0</v>
      </c>
      <c r="AW20" s="984">
        <f ca="1">IF(ISNUMBER(SUMIF($B8:$B18,$B20,AW8:AW18)/INDIRECT("Datos!AP"&amp;ROW()-1)),SUMIF($B8:$B18,$B20,AW8:AW18)/INDIRECT("Datos!AP"&amp;ROW()-1),"-")</f>
        <v>0</v>
      </c>
      <c r="AX20" s="986">
        <f ca="1">IF(ISNUMBER(SUMIF($B8:$B18,$B20,AX8:AX18)/INDIRECT("Datos!AP"&amp;ROW()-1)),SUMIF($B8:$B18,$B20,AX8:AX18)/INDIRECT("Datos!AP"&amp;ROW()-1),"-")</f>
        <v>0</v>
      </c>
      <c r="AY20" s="986">
        <f ca="1">IF(ISNUMBER(SUMIF($B8:$B18,$B20,AY8:AY18)/INDIRECT("Datos!AP"&amp;ROW()-1)),SUMIF($B8:$B18,$B20,AY8:AY18)/INDIRECT("Datos!AP"&amp;ROW()-1),"-")</f>
        <v>0</v>
      </c>
      <c r="AZ20" s="986"/>
      <c r="BA20" s="986"/>
      <c r="BB20" s="987"/>
      <c r="BC20" s="251">
        <f ca="1">IF(ISNUMBER(SUMIF($B8:$B18,$B20,BC8:BC18)/INDIRECT("Datos!AP"&amp;ROW()-1)),SUMIF($B8:$B18,$B20,BC8:BC18)/INDIRECT("Datos!AP"&amp;ROW()-1),"-")</f>
        <v>0</v>
      </c>
      <c r="BD20" s="251">
        <f ca="1">IF(ISNUMBER(SUMIF($B8:$B18,$B20,BD8:BD18)/INDIRECT("Datos!AP"&amp;ROW()-1)),SUMIF($B8:$B18,$B20,BD8:BD18)/INDIRECT("Datos!AP"&amp;ROW()-1),"-")</f>
        <v>0</v>
      </c>
      <c r="BE20" s="733">
        <f ca="1">IF(ISNUMBER(SUMIF($B8:$B18,$B20,BE8:BE18)/INDIRECT("Datos!AP"&amp;ROW()-1)),SUMIF($B8:$B18,$B20,BE8:BE18)/INDIRECT("Datos!AP"&amp;ROW()-1),"-")</f>
        <v>0</v>
      </c>
    </row>
    <row r="21" spans="1:65" ht="18.75" hidden="1" customHeight="1">
      <c r="A21" s="736"/>
      <c r="B21" s="736"/>
      <c r="C21" s="736" t="s">
        <v>265</v>
      </c>
      <c r="D21" s="737"/>
      <c r="E21" s="738">
        <f>IF(ISNUMBER(STDEV(E8:E18)),STDEV(E8:E18),"-")</f>
        <v>1.0327955589886446</v>
      </c>
      <c r="F21" s="739">
        <f>IF(ISNUMBER(STDEV(F8:F18)),STDEV(F8:F18),"-")</f>
        <v>5.196152422706632</v>
      </c>
      <c r="G21" s="740">
        <f>IF(ISNUMBER(STDEV(G8:G18)),STDEV(G8:G18),"-")</f>
        <v>5.196152422706632</v>
      </c>
      <c r="H21" s="739">
        <f>IF(ISNUMBER(STDEV(H8:H18)),STDEV(H8:H18),"-")</f>
        <v>0</v>
      </c>
      <c r="I21" s="742">
        <f>IF(ISNUMBER(STDEV(I8:I18)),STDEV(I8:I18),"-")</f>
        <v>0</v>
      </c>
      <c r="J21" s="741"/>
      <c r="K21" s="741"/>
      <c r="L21" s="741"/>
      <c r="M21" s="741"/>
      <c r="N21" s="741"/>
      <c r="O21" s="741"/>
      <c r="P21" s="741"/>
      <c r="Q21" s="743"/>
      <c r="R21" s="743"/>
      <c r="S21" s="741"/>
      <c r="T21" s="741"/>
      <c r="U21" s="743"/>
      <c r="V21" s="743"/>
      <c r="W21" s="741"/>
      <c r="X21" s="1024"/>
      <c r="Y21" s="789"/>
      <c r="Z21" s="739">
        <f>IF(ISNUMBER(STDEV(Z8:Z18)),STDEV(Z8:Z18),"-")</f>
        <v>0</v>
      </c>
      <c r="AA21" s="743">
        <f>IF(ISNUMBER(STDEV(AA8:AA18)),STDEV(AA8:AA18),"-")</f>
        <v>0</v>
      </c>
      <c r="AB21" s="741">
        <f>IF(ISNUMBER(STDEV(AB8:AB18)),STDEV(AB8:AB18),"-")</f>
        <v>4.6188021535170067</v>
      </c>
      <c r="AC21" s="741">
        <f>IF(ISNUMBER(STDEV(AC8:AC18)),STDEV(AC8:AC18),"-")</f>
        <v>0</v>
      </c>
      <c r="AD21" s="744"/>
      <c r="AE21" s="744"/>
      <c r="AF21" s="744"/>
      <c r="AG21" s="744"/>
      <c r="AH21" s="744"/>
      <c r="AI21" s="744"/>
      <c r="AJ21" s="745">
        <f>IF(ISNUMBER(STDEV(AJ8:AJ18)),STDEV(AJ8:AJ18),"-")</f>
        <v>0</v>
      </c>
      <c r="AK21" s="747"/>
      <c r="AL21" s="739">
        <f>IF(ISNUMBER(STDEV(AL8:AL18)),STDEV(AL8:AL18),"-")</f>
        <v>136.85150102696474</v>
      </c>
      <c r="AM21" s="739"/>
      <c r="AN21" s="739">
        <f>IF(ISNUMBER(STDEV(AN8:AN18)),STDEV(AN8:AN18),"-")</f>
        <v>0</v>
      </c>
      <c r="AO21" s="745">
        <f>IF(ISNUMBER(STDEV(AO8:AO18)),STDEV(AO8:AO18),"-")</f>
        <v>0</v>
      </c>
      <c r="AP21" s="782">
        <f>IF(ISNUMBER(STDEV(AP8:AP18)),STDEV(AP8:AP18),"-")</f>
        <v>3.4209796551870837</v>
      </c>
      <c r="AQ21" s="782" t="str">
        <f>IF(ISNUMBER(STDEV(AQ8:AQ18)),STDEV(AQ8:AQ18),"-")</f>
        <v>-</v>
      </c>
      <c r="AR21" s="697" t="str">
        <f>IF(ISNUMBER(AT21/AV21),AT21/AV21," - ")</f>
        <v xml:space="preserve"> - </v>
      </c>
      <c r="AS21" s="697" t="str">
        <f>IF(ISNUMBER(AV21/#REF!),AV21/#REF!," - ")</f>
        <v xml:space="preserve"> - </v>
      </c>
      <c r="AT21" s="749" t="str">
        <f>IF(ISNUMBER(STDEV(AT8:AT18)),STDEV(AT8:AT18),"-")</f>
        <v>-</v>
      </c>
      <c r="AU21" s="749" t="str">
        <f>IF(ISNUMBER(STDEV(AU8:AU18)),STDEV(AU8:AU18),"-")</f>
        <v>-</v>
      </c>
      <c r="AV21" s="750"/>
      <c r="AW21" s="750"/>
      <c r="AX21" s="752">
        <f t="shared" ref="AX21:BE21" si="8">IF(ISNUMBER(STDEV(AX8:AX18)),STDEV(AX8:AX18),"-")</f>
        <v>0</v>
      </c>
      <c r="AY21" s="752">
        <f t="shared" si="8"/>
        <v>0</v>
      </c>
      <c r="AZ21" s="753">
        <f t="shared" si="8"/>
        <v>0</v>
      </c>
      <c r="BA21" s="753">
        <f t="shared" si="8"/>
        <v>0</v>
      </c>
      <c r="BB21" s="754">
        <f t="shared" si="8"/>
        <v>0</v>
      </c>
      <c r="BC21" s="257">
        <f t="shared" si="8"/>
        <v>0</v>
      </c>
      <c r="BD21" s="257">
        <f t="shared" si="8"/>
        <v>0</v>
      </c>
      <c r="BE21" s="739">
        <f t="shared" si="8"/>
        <v>0</v>
      </c>
    </row>
    <row r="22" spans="1:65" ht="12" customHeight="1" thickTop="1">
      <c r="C22" s="71"/>
      <c r="D22" s="71"/>
      <c r="F22" s="755"/>
      <c r="G22" s="755"/>
      <c r="H22" s="755"/>
      <c r="J22" s="755"/>
      <c r="K22" s="755"/>
      <c r="L22" s="756"/>
      <c r="M22" s="756"/>
      <c r="N22" s="755"/>
      <c r="O22" s="755"/>
      <c r="P22" s="755"/>
      <c r="Q22" s="757"/>
      <c r="R22" s="757"/>
      <c r="S22" s="755"/>
      <c r="T22" s="755"/>
      <c r="U22" s="757"/>
      <c r="V22" s="757"/>
      <c r="W22" s="755"/>
      <c r="X22" s="1025"/>
      <c r="Y22" s="790"/>
      <c r="Z22" s="755"/>
      <c r="AA22" s="757"/>
      <c r="AB22" s="755"/>
      <c r="AC22" s="755"/>
      <c r="AD22" s="755"/>
      <c r="AE22" s="755"/>
      <c r="AF22" s="755"/>
      <c r="AG22" s="755"/>
      <c r="AH22" s="755"/>
      <c r="AI22" s="755"/>
      <c r="AJ22" s="755"/>
      <c r="AK22" s="755"/>
      <c r="AL22" s="755"/>
      <c r="AM22" s="755"/>
      <c r="AN22" s="755"/>
      <c r="AO22" s="755"/>
      <c r="AP22" s="755"/>
      <c r="AQ22" s="755"/>
      <c r="AR22" s="757"/>
      <c r="AS22" s="757"/>
      <c r="AT22" s="755" t="s">
        <v>424</v>
      </c>
      <c r="AU22" s="755" t="s">
        <v>424</v>
      </c>
      <c r="AV22" s="758"/>
      <c r="AW22" s="758"/>
      <c r="AX22" s="755"/>
      <c r="AY22" s="755"/>
      <c r="AZ22" s="760"/>
      <c r="BA22" s="760"/>
      <c r="BB22" s="755"/>
      <c r="BE22" s="755"/>
    </row>
    <row r="23" spans="1:65" ht="14.25">
      <c r="C23" s="163"/>
      <c r="D23" s="521"/>
      <c r="E23" s="761"/>
      <c r="F23" s="762"/>
      <c r="G23" s="693"/>
      <c r="H23" s="763"/>
      <c r="I23" s="764"/>
      <c r="J23" s="763"/>
      <c r="K23" s="763"/>
      <c r="L23" s="729"/>
      <c r="M23" s="729"/>
      <c r="N23" s="763"/>
      <c r="O23" s="763"/>
      <c r="P23" s="763"/>
      <c r="Q23" s="689"/>
      <c r="R23" s="689"/>
      <c r="S23" s="763"/>
      <c r="T23" s="763"/>
      <c r="U23" s="689"/>
      <c r="V23" s="689"/>
      <c r="W23" s="763"/>
      <c r="X23" s="1022"/>
      <c r="Y23" s="685"/>
      <c r="Z23" s="729"/>
      <c r="AA23" s="689"/>
      <c r="AB23" s="763"/>
      <c r="AC23" s="763"/>
      <c r="AD23" s="765"/>
      <c r="AE23" s="765"/>
      <c r="AF23" s="675"/>
      <c r="AG23" s="675"/>
      <c r="AH23" s="765"/>
      <c r="AI23" s="765"/>
      <c r="AJ23" s="763"/>
      <c r="AK23" s="763"/>
      <c r="AL23" s="763"/>
      <c r="AM23" s="763"/>
      <c r="AN23" s="763"/>
      <c r="AO23" s="763"/>
      <c r="AP23" s="763"/>
      <c r="AQ23" s="763"/>
      <c r="AR23" s="689"/>
      <c r="AS23" s="689"/>
      <c r="AT23" s="689"/>
      <c r="AU23" s="689"/>
      <c r="AV23" s="703"/>
      <c r="AW23" s="703"/>
      <c r="AX23" s="763"/>
      <c r="AY23" s="763"/>
      <c r="AZ23" s="767"/>
      <c r="BA23" s="767"/>
      <c r="BB23" s="767"/>
      <c r="BC23" s="147"/>
      <c r="BD23" s="147"/>
      <c r="BE23" s="762"/>
    </row>
    <row r="24" spans="1:65" ht="14.25">
      <c r="C24" s="7"/>
      <c r="D24" s="524"/>
      <c r="E24" s="761"/>
      <c r="F24" s="762"/>
      <c r="G24" s="693"/>
      <c r="H24" s="763"/>
      <c r="I24" s="764"/>
      <c r="J24" s="763"/>
      <c r="K24" s="763"/>
      <c r="L24" s="729"/>
      <c r="M24" s="729"/>
      <c r="N24" s="763"/>
      <c r="O24" s="763"/>
      <c r="P24" s="763"/>
      <c r="Q24" s="689"/>
      <c r="R24" s="689"/>
      <c r="S24" s="763"/>
      <c r="T24" s="763"/>
      <c r="U24" s="689"/>
      <c r="V24" s="689"/>
      <c r="W24" s="763"/>
      <c r="X24" s="1022"/>
      <c r="Y24" s="685"/>
      <c r="Z24" s="729"/>
      <c r="AA24" s="689"/>
      <c r="AB24" s="763"/>
      <c r="AC24" s="763"/>
      <c r="AD24" s="765"/>
      <c r="AE24" s="765"/>
      <c r="AF24" s="675"/>
      <c r="AG24" s="675"/>
      <c r="AH24" s="765"/>
      <c r="AI24" s="765"/>
      <c r="AJ24" s="763"/>
      <c r="AK24" s="763"/>
      <c r="AL24" s="763"/>
      <c r="AM24" s="763"/>
      <c r="AN24" s="763"/>
      <c r="AO24" s="763"/>
      <c r="AP24" s="763"/>
      <c r="AQ24" s="763"/>
      <c r="AR24" s="689"/>
      <c r="AS24" s="689"/>
      <c r="AT24" s="689"/>
      <c r="AU24" s="689"/>
      <c r="AV24" s="703"/>
      <c r="AW24" s="703"/>
      <c r="AX24" s="763"/>
      <c r="AY24" s="763"/>
      <c r="AZ24" s="767"/>
      <c r="BA24" s="767"/>
      <c r="BB24" s="767"/>
      <c r="BC24" s="147"/>
      <c r="BD24" s="147"/>
      <c r="BE24" s="762"/>
    </row>
    <row r="25" spans="1:65" ht="12.75" hidden="1" customHeight="1">
      <c r="C25" s="525" t="s">
        <v>262</v>
      </c>
      <c r="D25" s="524"/>
      <c r="E25" s="730">
        <f t="shared" ref="E25:AV25" si="9">E23+2*E24</f>
        <v>0</v>
      </c>
      <c r="F25" s="730">
        <f t="shared" si="9"/>
        <v>0</v>
      </c>
      <c r="G25" s="727">
        <f t="shared" si="9"/>
        <v>0</v>
      </c>
      <c r="H25" s="768">
        <f t="shared" si="9"/>
        <v>0</v>
      </c>
      <c r="I25" s="769">
        <f>I23+2*I24</f>
        <v>0</v>
      </c>
      <c r="J25" s="768">
        <f>J23+2*J24</f>
        <v>0</v>
      </c>
      <c r="K25" s="768">
        <f t="shared" si="9"/>
        <v>0</v>
      </c>
      <c r="L25" s="768">
        <f t="shared" si="9"/>
        <v>0</v>
      </c>
      <c r="M25" s="768">
        <f t="shared" si="9"/>
        <v>0</v>
      </c>
      <c r="N25" s="768">
        <f t="shared" si="9"/>
        <v>0</v>
      </c>
      <c r="O25" s="768">
        <f>O23+2*O24</f>
        <v>0</v>
      </c>
      <c r="P25" s="768">
        <f t="shared" si="9"/>
        <v>0</v>
      </c>
      <c r="Q25" s="770">
        <f t="shared" si="9"/>
        <v>0</v>
      </c>
      <c r="R25" s="770">
        <f t="shared" si="9"/>
        <v>0</v>
      </c>
      <c r="S25" s="768">
        <f t="shared" si="9"/>
        <v>0</v>
      </c>
      <c r="T25" s="768">
        <f>T23+2*T24</f>
        <v>0</v>
      </c>
      <c r="U25" s="771">
        <f t="shared" si="9"/>
        <v>0</v>
      </c>
      <c r="V25" s="771">
        <f>V23+2*V24</f>
        <v>0</v>
      </c>
      <c r="W25" s="768">
        <v>0</v>
      </c>
      <c r="X25" s="771">
        <v>0</v>
      </c>
      <c r="Y25" s="791">
        <f>Y23+2*Y24</f>
        <v>0</v>
      </c>
      <c r="Z25" s="727">
        <f t="shared" si="9"/>
        <v>0</v>
      </c>
      <c r="AA25" s="772">
        <f t="shared" si="9"/>
        <v>0</v>
      </c>
      <c r="AB25" s="727">
        <f t="shared" si="9"/>
        <v>0</v>
      </c>
      <c r="AC25" s="727">
        <f>AC23+2*AC24</f>
        <v>0</v>
      </c>
      <c r="AD25" s="727">
        <f t="shared" si="9"/>
        <v>0</v>
      </c>
      <c r="AE25" s="727">
        <f>AE23+2*AE24</f>
        <v>0</v>
      </c>
      <c r="AF25" s="727">
        <f t="shared" si="9"/>
        <v>0</v>
      </c>
      <c r="AG25" s="727">
        <f>AG23+2*AG24</f>
        <v>0</v>
      </c>
      <c r="AH25" s="727">
        <f t="shared" si="9"/>
        <v>0</v>
      </c>
      <c r="AI25" s="727">
        <f>AI23+2*AI24</f>
        <v>0</v>
      </c>
      <c r="AJ25" s="727">
        <f t="shared" si="9"/>
        <v>0</v>
      </c>
      <c r="AK25" s="727">
        <f t="shared" si="9"/>
        <v>0</v>
      </c>
      <c r="AL25" s="727">
        <f t="shared" si="9"/>
        <v>0</v>
      </c>
      <c r="AM25" s="727">
        <f t="shared" si="9"/>
        <v>0</v>
      </c>
      <c r="AN25" s="727">
        <f t="shared" si="9"/>
        <v>0</v>
      </c>
      <c r="AO25" s="727">
        <f t="shared" si="9"/>
        <v>0</v>
      </c>
      <c r="AP25" s="773">
        <f t="shared" si="9"/>
        <v>0</v>
      </c>
      <c r="AQ25" s="773">
        <f>AQ23+2*AQ24</f>
        <v>0</v>
      </c>
      <c r="AR25" s="772">
        <f t="shared" si="9"/>
        <v>0</v>
      </c>
      <c r="AS25" s="772">
        <f>AS23+2*AS24</f>
        <v>0</v>
      </c>
      <c r="AT25" s="774">
        <f t="shared" si="9"/>
        <v>0</v>
      </c>
      <c r="AU25" s="774">
        <f>AU23+2*AU24</f>
        <v>0</v>
      </c>
      <c r="AV25" s="774">
        <f t="shared" si="9"/>
        <v>0</v>
      </c>
      <c r="AW25" s="774">
        <f>AW23+2*AW24</f>
        <v>0</v>
      </c>
      <c r="AX25" s="727">
        <f>AX23+2*AX24</f>
        <v>0</v>
      </c>
      <c r="AY25" s="727">
        <f>AY23+2*AY24</f>
        <v>0</v>
      </c>
      <c r="AZ25" s="727">
        <f>(AZ23-ultimoDiaTrim)+2*AZ24</f>
        <v>0</v>
      </c>
      <c r="BA25" s="727">
        <f>(BA23-ultimoDiaTrim)+2*BA24</f>
        <v>0</v>
      </c>
      <c r="BB25" s="775"/>
      <c r="BC25" s="145">
        <f>BC23+2*BC24</f>
        <v>0</v>
      </c>
      <c r="BD25" s="145">
        <f>BD23+2*BD24</f>
        <v>0</v>
      </c>
      <c r="BE25" s="730">
        <f>BE23+2*BE24</f>
        <v>0</v>
      </c>
    </row>
    <row r="26" spans="1:65" ht="12.75" hidden="1" customHeight="1">
      <c r="C26" s="525" t="s">
        <v>263</v>
      </c>
      <c r="D26" s="524"/>
      <c r="E26" s="730">
        <f t="shared" ref="E26:AV26" si="10">MIN(0,E23-2*E24)</f>
        <v>0</v>
      </c>
      <c r="F26" s="730">
        <f t="shared" si="10"/>
        <v>0</v>
      </c>
      <c r="G26" s="727">
        <f t="shared" si="10"/>
        <v>0</v>
      </c>
      <c r="H26" s="727">
        <f t="shared" si="10"/>
        <v>0</v>
      </c>
      <c r="I26" s="776">
        <f>MIN(0,I23-2*I24)</f>
        <v>0</v>
      </c>
      <c r="J26" s="727">
        <f>MIN(0,J23-2*J24)</f>
        <v>0</v>
      </c>
      <c r="K26" s="727">
        <f t="shared" si="10"/>
        <v>0</v>
      </c>
      <c r="L26" s="727">
        <f t="shared" si="10"/>
        <v>0</v>
      </c>
      <c r="M26" s="727">
        <f t="shared" si="10"/>
        <v>0</v>
      </c>
      <c r="N26" s="727">
        <f t="shared" si="10"/>
        <v>0</v>
      </c>
      <c r="O26" s="727">
        <f>MIN(0,O23-2*O24)</f>
        <v>0</v>
      </c>
      <c r="P26" s="727">
        <f t="shared" si="10"/>
        <v>0</v>
      </c>
      <c r="Q26" s="772">
        <f t="shared" si="10"/>
        <v>0</v>
      </c>
      <c r="R26" s="772">
        <f t="shared" si="10"/>
        <v>0</v>
      </c>
      <c r="S26" s="727">
        <f t="shared" si="10"/>
        <v>0</v>
      </c>
      <c r="T26" s="727">
        <f>MIN(0,T23-2*T24)</f>
        <v>0</v>
      </c>
      <c r="U26" s="774">
        <f t="shared" si="10"/>
        <v>0</v>
      </c>
      <c r="V26" s="774">
        <f>MIN(0,V23-2*V24)</f>
        <v>0</v>
      </c>
      <c r="W26" s="727">
        <v>0</v>
      </c>
      <c r="X26" s="774">
        <v>0</v>
      </c>
      <c r="Y26" s="792">
        <f>MIN(0,Y23-2*Y24)</f>
        <v>0</v>
      </c>
      <c r="Z26" s="727">
        <f t="shared" si="10"/>
        <v>0</v>
      </c>
      <c r="AA26" s="772">
        <f t="shared" si="10"/>
        <v>0</v>
      </c>
      <c r="AB26" s="727">
        <f t="shared" si="10"/>
        <v>0</v>
      </c>
      <c r="AC26" s="727">
        <f>MIN(0,AC23-2*AC24)</f>
        <v>0</v>
      </c>
      <c r="AD26" s="727">
        <f t="shared" si="10"/>
        <v>0</v>
      </c>
      <c r="AE26" s="727">
        <f>MIN(0,AE23-2*AE24)</f>
        <v>0</v>
      </c>
      <c r="AF26" s="727">
        <f t="shared" si="10"/>
        <v>0</v>
      </c>
      <c r="AG26" s="727">
        <f>MIN(0,AG23-2*AG24)</f>
        <v>0</v>
      </c>
      <c r="AH26" s="727">
        <f t="shared" si="10"/>
        <v>0</v>
      </c>
      <c r="AI26" s="727">
        <f>MIN(0,AI23-2*AI24)</f>
        <v>0</v>
      </c>
      <c r="AJ26" s="727">
        <f t="shared" si="10"/>
        <v>0</v>
      </c>
      <c r="AK26" s="727">
        <f t="shared" si="10"/>
        <v>0</v>
      </c>
      <c r="AL26" s="727">
        <f t="shared" si="10"/>
        <v>0</v>
      </c>
      <c r="AM26" s="727">
        <f t="shared" si="10"/>
        <v>0</v>
      </c>
      <c r="AN26" s="727">
        <f t="shared" si="10"/>
        <v>0</v>
      </c>
      <c r="AO26" s="727">
        <f t="shared" si="10"/>
        <v>0</v>
      </c>
      <c r="AP26" s="773">
        <f t="shared" si="10"/>
        <v>0</v>
      </c>
      <c r="AQ26" s="773">
        <f>MIN(0,AQ23-2*AQ24)</f>
        <v>0</v>
      </c>
      <c r="AR26" s="772">
        <f t="shared" si="10"/>
        <v>0</v>
      </c>
      <c r="AS26" s="772">
        <f>MIN(0,AS23-2*AS24)</f>
        <v>0</v>
      </c>
      <c r="AT26" s="774">
        <f t="shared" si="10"/>
        <v>0</v>
      </c>
      <c r="AU26" s="774">
        <f>MIN(0,AU23-2*AU24)</f>
        <v>0</v>
      </c>
      <c r="AV26" s="774">
        <f t="shared" si="10"/>
        <v>0</v>
      </c>
      <c r="AW26" s="774">
        <f>MIN(0,AW23-2*AW24)</f>
        <v>0</v>
      </c>
      <c r="AX26" s="727">
        <f>MIN(0,AX23-2*AX24)</f>
        <v>0</v>
      </c>
      <c r="AY26" s="727">
        <f>MIN(0,AY23-2*AY24)</f>
        <v>0</v>
      </c>
      <c r="AZ26" s="727">
        <f>MIN(0,(AZ23-ultimoDiaTrim)-2*AZ24)</f>
        <v>0</v>
      </c>
      <c r="BA26" s="727">
        <f>MIN(0,(BA23-ultimoDiaTrim)-2*BA24)</f>
        <v>0</v>
      </c>
      <c r="BB26" s="775"/>
      <c r="BC26" s="146">
        <f>MIN(0,BC23-2*BC24)</f>
        <v>0</v>
      </c>
      <c r="BD26" s="146">
        <f>MIN(0,BD23-2*BD24)</f>
        <v>0</v>
      </c>
      <c r="BE26" s="730">
        <f>MIN(0,BE23-2*BE24)</f>
        <v>0</v>
      </c>
    </row>
    <row r="27" spans="1:65">
      <c r="C27" s="71"/>
      <c r="D27" s="71"/>
      <c r="W27"/>
      <c r="X27"/>
    </row>
    <row r="30" spans="1:65">
      <c r="C30" s="648" t="str">
        <f>Criterios!A4</f>
        <v>Fecha Informe: 03 may. 2024</v>
      </c>
      <c r="W30"/>
      <c r="X30"/>
    </row>
    <row r="32" spans="1:65">
      <c r="C32" s="777"/>
      <c r="D32" s="777"/>
      <c r="W32"/>
      <c r="X32"/>
    </row>
  </sheetData>
  <sheetProtection algorithmName="SHA-512" hashValue="Q3h7NYgs1n3jnzHn69oJi9DTKbLxhHDiAoJrzyx4AmN4H2y69s/Q73lufCUQfzkker4n6kQK2FiL7oBFxEA1PQ==" saltValue="wHpcL5JdsSmJdW4ctpcEF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2024-05-03T09:25:00Z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